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550" windowHeight="11295" tabRatio="807"/>
  </bookViews>
  <sheets>
    <sheet name="Balaka &amp; Dedza Non-net costs" sheetId="1" r:id="rId1"/>
  </sheets>
  <calcPr calcId="145621"/>
</workbook>
</file>

<file path=xl/calcChain.xml><?xml version="1.0" encoding="utf-8"?>
<calcChain xmlns="http://schemas.openxmlformats.org/spreadsheetml/2006/main">
  <c r="AF113" i="1" l="1"/>
  <c r="AF109" i="1"/>
  <c r="AF110" i="1"/>
  <c r="AF105" i="1"/>
  <c r="AF106" i="1"/>
  <c r="H113" i="1"/>
  <c r="H110" i="1"/>
  <c r="H109" i="1"/>
  <c r="H106" i="1"/>
  <c r="H105" i="1"/>
  <c r="R21" i="1"/>
  <c r="R101" i="1"/>
  <c r="R103" i="1"/>
  <c r="R126" i="1"/>
  <c r="AP21" i="1"/>
  <c r="AP101" i="1"/>
  <c r="AP103" i="1"/>
  <c r="AP126" i="1"/>
  <c r="BJ126" i="1"/>
  <c r="R125" i="1"/>
  <c r="AP125" i="1"/>
  <c r="BJ125" i="1"/>
  <c r="AH99" i="1"/>
  <c r="AF99" i="1"/>
  <c r="AB99" i="1"/>
  <c r="AB97" i="1"/>
  <c r="AF96" i="1"/>
  <c r="AH96" i="1"/>
  <c r="AF95" i="1"/>
  <c r="AF97" i="1"/>
  <c r="X95" i="1"/>
  <c r="H99" i="1"/>
  <c r="H97" i="1"/>
  <c r="H96" i="1"/>
  <c r="J96" i="1"/>
  <c r="H95" i="1"/>
  <c r="D97" i="1"/>
  <c r="D99" i="1"/>
  <c r="BP37" i="1"/>
  <c r="BL37" i="1"/>
  <c r="BJ37" i="1"/>
  <c r="BH37" i="1"/>
  <c r="AZ37" i="1"/>
  <c r="AT37" i="1"/>
  <c r="AV37" i="1"/>
  <c r="AR37" i="1"/>
  <c r="AP37" i="1"/>
  <c r="AL37" i="1"/>
  <c r="AH37" i="1"/>
  <c r="AF37" i="1"/>
  <c r="AB37" i="1"/>
  <c r="T37" i="1"/>
  <c r="R37" i="1"/>
  <c r="N37" i="1"/>
  <c r="D37" i="1"/>
  <c r="BH24" i="1"/>
  <c r="AZ24" i="1"/>
  <c r="AP24" i="1"/>
  <c r="AV24" i="1"/>
  <c r="AN24" i="1"/>
  <c r="AD24" i="1"/>
  <c r="AF24" i="1"/>
  <c r="P24" i="1"/>
  <c r="R24" i="1"/>
  <c r="H24" i="1"/>
  <c r="J24" i="1"/>
  <c r="AH95" i="1"/>
  <c r="AH97" i="1"/>
  <c r="J95" i="1"/>
  <c r="J97" i="1"/>
  <c r="V24" i="1"/>
  <c r="X24" i="1"/>
  <c r="T24" i="1"/>
  <c r="AH24" i="1"/>
  <c r="BB24" i="1"/>
  <c r="BD24" i="1"/>
  <c r="BJ24" i="1"/>
  <c r="AR24" i="1"/>
  <c r="AT24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40" i="1"/>
  <c r="BN70" i="1"/>
  <c r="BN77" i="1"/>
  <c r="BN81" i="1"/>
  <c r="BN92" i="1"/>
  <c r="BL92" i="1"/>
  <c r="BL81" i="1"/>
  <c r="BL77" i="1"/>
  <c r="BL70" i="1"/>
  <c r="BJ92" i="1"/>
  <c r="BJ81" i="1"/>
  <c r="BJ77" i="1"/>
  <c r="BH70" i="1"/>
  <c r="BJ70" i="1"/>
  <c r="BH97" i="1"/>
  <c r="BH99" i="1"/>
  <c r="BP92" i="1"/>
  <c r="BP81" i="1"/>
  <c r="BP77" i="1"/>
  <c r="BP70" i="1"/>
  <c r="BP96" i="1"/>
  <c r="BP97" i="1"/>
  <c r="BJ96" i="1"/>
  <c r="BL96" i="1"/>
  <c r="BL97" i="1"/>
  <c r="BL99" i="1"/>
  <c r="BH96" i="1"/>
  <c r="BP95" i="1"/>
  <c r="BL95" i="1"/>
  <c r="BJ95" i="1"/>
  <c r="BH95" i="1"/>
  <c r="BJ91" i="1"/>
  <c r="BH91" i="1"/>
  <c r="BL90" i="1"/>
  <c r="BJ90" i="1"/>
  <c r="BH90" i="1"/>
  <c r="BJ89" i="1"/>
  <c r="BH89" i="1"/>
  <c r="BJ88" i="1"/>
  <c r="BL88" i="1"/>
  <c r="BH88" i="1"/>
  <c r="BJ87" i="1"/>
  <c r="BH87" i="1"/>
  <c r="BJ86" i="1"/>
  <c r="BH86" i="1"/>
  <c r="BJ85" i="1"/>
  <c r="BL85" i="1"/>
  <c r="BH85" i="1"/>
  <c r="BJ84" i="1"/>
  <c r="BH84" i="1"/>
  <c r="BJ80" i="1"/>
  <c r="BH80" i="1"/>
  <c r="BJ76" i="1"/>
  <c r="BH76" i="1"/>
  <c r="BL75" i="1"/>
  <c r="BJ75" i="1"/>
  <c r="BH75" i="1"/>
  <c r="BJ74" i="1"/>
  <c r="BH74" i="1"/>
  <c r="BJ73" i="1"/>
  <c r="BL73" i="1"/>
  <c r="BH73" i="1"/>
  <c r="BJ69" i="1"/>
  <c r="BH69" i="1"/>
  <c r="BL68" i="1"/>
  <c r="BJ68" i="1"/>
  <c r="BH68" i="1"/>
  <c r="BJ67" i="1"/>
  <c r="BH67" i="1"/>
  <c r="BJ66" i="1"/>
  <c r="BL66" i="1"/>
  <c r="BH66" i="1"/>
  <c r="BJ65" i="1"/>
  <c r="BH65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AT96" i="1"/>
  <c r="AT95" i="1"/>
  <c r="AT97" i="1"/>
  <c r="AT99" i="1"/>
  <c r="AT91" i="1"/>
  <c r="AT90" i="1"/>
  <c r="AT89" i="1"/>
  <c r="AT88" i="1"/>
  <c r="AT87" i="1"/>
  <c r="AT86" i="1"/>
  <c r="AT85" i="1"/>
  <c r="AT84" i="1"/>
  <c r="AT92" i="1"/>
  <c r="AT80" i="1"/>
  <c r="AT81" i="1"/>
  <c r="AT76" i="1"/>
  <c r="AT75" i="1"/>
  <c r="AT74" i="1"/>
  <c r="AT73" i="1"/>
  <c r="AT77" i="1"/>
  <c r="AT69" i="1"/>
  <c r="AT68" i="1"/>
  <c r="AT67" i="1"/>
  <c r="AT66" i="1"/>
  <c r="AT65" i="1"/>
  <c r="AT70" i="1"/>
  <c r="AV97" i="1"/>
  <c r="AV92" i="1"/>
  <c r="AV81" i="1"/>
  <c r="AV77" i="1"/>
  <c r="AV70" i="1"/>
  <c r="AV96" i="1"/>
  <c r="AV95" i="1"/>
  <c r="AV91" i="1"/>
  <c r="AV90" i="1"/>
  <c r="AV89" i="1"/>
  <c r="AV88" i="1"/>
  <c r="AV87" i="1"/>
  <c r="AV86" i="1"/>
  <c r="AV85" i="1"/>
  <c r="AV84" i="1"/>
  <c r="AV80" i="1"/>
  <c r="AV76" i="1"/>
  <c r="AV75" i="1"/>
  <c r="AV74" i="1"/>
  <c r="AV73" i="1"/>
  <c r="AV69" i="1"/>
  <c r="AV68" i="1"/>
  <c r="AV67" i="1"/>
  <c r="AV66" i="1"/>
  <c r="AV65" i="1"/>
  <c r="AR96" i="1"/>
  <c r="AR95" i="1"/>
  <c r="AR97" i="1"/>
  <c r="AR91" i="1"/>
  <c r="AR90" i="1"/>
  <c r="AR89" i="1"/>
  <c r="AR88" i="1"/>
  <c r="AR87" i="1"/>
  <c r="AR86" i="1"/>
  <c r="AR85" i="1"/>
  <c r="AR84" i="1"/>
  <c r="AR92" i="1"/>
  <c r="AR80" i="1"/>
  <c r="AR81" i="1"/>
  <c r="AR76" i="1"/>
  <c r="AR75" i="1"/>
  <c r="AR74" i="1"/>
  <c r="AR73" i="1"/>
  <c r="AR77" i="1"/>
  <c r="AR69" i="1"/>
  <c r="AR68" i="1"/>
  <c r="AR67" i="1"/>
  <c r="AR66" i="1"/>
  <c r="AR70" i="1"/>
  <c r="AR65" i="1"/>
  <c r="AP97" i="1"/>
  <c r="AL97" i="1"/>
  <c r="AL99" i="1"/>
  <c r="AP92" i="1"/>
  <c r="AP81" i="1"/>
  <c r="AP77" i="1"/>
  <c r="AP99" i="1"/>
  <c r="AP70" i="1"/>
  <c r="AL92" i="1"/>
  <c r="AL81" i="1"/>
  <c r="AL77" i="1"/>
  <c r="AL70" i="1"/>
  <c r="R96" i="1"/>
  <c r="V96" i="1"/>
  <c r="X96" i="1"/>
  <c r="R95" i="1"/>
  <c r="R97" i="1"/>
  <c r="BJ97" i="1"/>
  <c r="R92" i="1"/>
  <c r="R81" i="1"/>
  <c r="R77" i="1"/>
  <c r="R70" i="1"/>
  <c r="T70" i="1"/>
  <c r="T20" i="1"/>
  <c r="T21" i="1"/>
  <c r="N97" i="1"/>
  <c r="N99" i="1"/>
  <c r="BN97" i="1"/>
  <c r="BJ99" i="1"/>
  <c r="BN24" i="1"/>
  <c r="BL24" i="1"/>
  <c r="BP24" i="1"/>
  <c r="BL89" i="1"/>
  <c r="BL87" i="1"/>
  <c r="BL84" i="1"/>
  <c r="BL86" i="1"/>
  <c r="BL91" i="1"/>
  <c r="BL80" i="1"/>
  <c r="BL74" i="1"/>
  <c r="BL76" i="1"/>
  <c r="BL67" i="1"/>
  <c r="BL65" i="1"/>
  <c r="BL69" i="1"/>
  <c r="AR99" i="1"/>
  <c r="V20" i="1"/>
  <c r="X20" i="1" s="1"/>
  <c r="X21" i="1" s="1"/>
  <c r="T95" i="1"/>
  <c r="V95" i="1"/>
  <c r="V97" i="1"/>
  <c r="X97" i="1"/>
  <c r="T96" i="1"/>
  <c r="T77" i="1"/>
  <c r="T81" i="1"/>
  <c r="T92" i="1"/>
  <c r="R99" i="1"/>
  <c r="R55" i="1"/>
  <c r="R54" i="1"/>
  <c r="R53" i="1"/>
  <c r="R52" i="1"/>
  <c r="R51" i="1"/>
  <c r="R50" i="1"/>
  <c r="N56" i="1"/>
  <c r="P26" i="1"/>
  <c r="P27" i="1"/>
  <c r="P28" i="1"/>
  <c r="P29" i="1"/>
  <c r="P30" i="1"/>
  <c r="P31" i="1"/>
  <c r="P32" i="1"/>
  <c r="P33" i="1"/>
  <c r="P34" i="1"/>
  <c r="P35" i="1"/>
  <c r="P36" i="1"/>
  <c r="P25" i="1"/>
  <c r="T97" i="1"/>
  <c r="T99" i="1"/>
  <c r="T50" i="1"/>
  <c r="T51" i="1"/>
  <c r="T52" i="1"/>
  <c r="T53" i="1"/>
  <c r="T54" i="1"/>
  <c r="T55" i="1"/>
  <c r="R34" i="1"/>
  <c r="R26" i="1"/>
  <c r="R35" i="1"/>
  <c r="R32" i="1"/>
  <c r="R27" i="1"/>
  <c r="R30" i="1"/>
  <c r="R29" i="1"/>
  <c r="N58" i="1"/>
  <c r="R56" i="1"/>
  <c r="R28" i="1"/>
  <c r="R36" i="1"/>
  <c r="R33" i="1"/>
  <c r="R31" i="1"/>
  <c r="R25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26" i="1"/>
  <c r="AN27" i="1"/>
  <c r="AN28" i="1"/>
  <c r="AN29" i="1"/>
  <c r="AN30" i="1"/>
  <c r="AN31" i="1"/>
  <c r="AN32" i="1"/>
  <c r="AN33" i="1"/>
  <c r="AN34" i="1"/>
  <c r="AN35" i="1"/>
  <c r="AN36" i="1"/>
  <c r="AN25" i="1"/>
  <c r="AZ49" i="1"/>
  <c r="AZ48" i="1"/>
  <c r="AZ47" i="1"/>
  <c r="AZ46" i="1"/>
  <c r="AZ45" i="1"/>
  <c r="AZ44" i="1"/>
  <c r="AZ43" i="1"/>
  <c r="AZ41" i="1"/>
  <c r="AZ40" i="1"/>
  <c r="AL56" i="1"/>
  <c r="AD49" i="1"/>
  <c r="AF49" i="1"/>
  <c r="BB49" i="1"/>
  <c r="AD48" i="1"/>
  <c r="AF48" i="1"/>
  <c r="BB48" i="1"/>
  <c r="AD47" i="1"/>
  <c r="AF47" i="1"/>
  <c r="BB47" i="1"/>
  <c r="AD46" i="1"/>
  <c r="AF46" i="1"/>
  <c r="AH46" i="1"/>
  <c r="AD45" i="1"/>
  <c r="AF45" i="1"/>
  <c r="AH45" i="1"/>
  <c r="AD44" i="1"/>
  <c r="AF44" i="1"/>
  <c r="BB44" i="1"/>
  <c r="AD43" i="1"/>
  <c r="AF43" i="1"/>
  <c r="AD42" i="1"/>
  <c r="AD41" i="1"/>
  <c r="AF41" i="1"/>
  <c r="BB41" i="1"/>
  <c r="AD40" i="1"/>
  <c r="AF40" i="1"/>
  <c r="BB40" i="1"/>
  <c r="AP49" i="1"/>
  <c r="AP48" i="1"/>
  <c r="AP47" i="1"/>
  <c r="AP46" i="1"/>
  <c r="AP45" i="1"/>
  <c r="AP44" i="1"/>
  <c r="AP43" i="1"/>
  <c r="AP42" i="1"/>
  <c r="AP41" i="1"/>
  <c r="AP40" i="1"/>
  <c r="AP26" i="1"/>
  <c r="AP27" i="1"/>
  <c r="AP28" i="1"/>
  <c r="AP29" i="1"/>
  <c r="AP30" i="1"/>
  <c r="AP31" i="1"/>
  <c r="AP32" i="1"/>
  <c r="AP33" i="1"/>
  <c r="AP34" i="1"/>
  <c r="AP35" i="1"/>
  <c r="AP36" i="1"/>
  <c r="AP25" i="1"/>
  <c r="AP55" i="1"/>
  <c r="AP54" i="1"/>
  <c r="AP53" i="1"/>
  <c r="AP52" i="1"/>
  <c r="AP51" i="1"/>
  <c r="AP50" i="1"/>
  <c r="AB27" i="1"/>
  <c r="AB42" i="1"/>
  <c r="AB56" i="1"/>
  <c r="BJ35" i="1"/>
  <c r="BJ34" i="1"/>
  <c r="BJ26" i="1"/>
  <c r="BJ52" i="1"/>
  <c r="AV33" i="1"/>
  <c r="BJ33" i="1"/>
  <c r="AR40" i="1"/>
  <c r="BJ40" i="1"/>
  <c r="AV40" i="1"/>
  <c r="AR48" i="1"/>
  <c r="BJ48" i="1"/>
  <c r="AV48" i="1"/>
  <c r="AV32" i="1"/>
  <c r="BJ32" i="1"/>
  <c r="AV41" i="1"/>
  <c r="BJ41" i="1"/>
  <c r="AV49" i="1"/>
  <c r="BJ49" i="1"/>
  <c r="BJ31" i="1"/>
  <c r="BJ42" i="1"/>
  <c r="BJ54" i="1"/>
  <c r="BJ30" i="1"/>
  <c r="BJ53" i="1"/>
  <c r="BJ55" i="1"/>
  <c r="AR43" i="1"/>
  <c r="BJ43" i="1"/>
  <c r="AV43" i="1"/>
  <c r="BJ25" i="1"/>
  <c r="AV25" i="1"/>
  <c r="BJ29" i="1"/>
  <c r="AV29" i="1"/>
  <c r="BJ44" i="1"/>
  <c r="AV44" i="1"/>
  <c r="BJ36" i="1"/>
  <c r="BJ28" i="1"/>
  <c r="AV28" i="1"/>
  <c r="BJ45" i="1"/>
  <c r="AV45" i="1"/>
  <c r="BJ50" i="1"/>
  <c r="BJ27" i="1"/>
  <c r="BJ46" i="1"/>
  <c r="AV46" i="1"/>
  <c r="BJ51" i="1"/>
  <c r="BJ47" i="1"/>
  <c r="AV47" i="1"/>
  <c r="T25" i="1"/>
  <c r="T30" i="1"/>
  <c r="T31" i="1"/>
  <c r="T27" i="1"/>
  <c r="T29" i="1"/>
  <c r="T33" i="1"/>
  <c r="T32" i="1"/>
  <c r="T36" i="1"/>
  <c r="T35" i="1"/>
  <c r="T28" i="1"/>
  <c r="T26" i="1"/>
  <c r="T34" i="1"/>
  <c r="BP48" i="1"/>
  <c r="BP44" i="1"/>
  <c r="BP40" i="1"/>
  <c r="R58" i="1"/>
  <c r="AH44" i="1"/>
  <c r="BP47" i="1"/>
  <c r="AH41" i="1"/>
  <c r="AH47" i="1"/>
  <c r="AH49" i="1"/>
  <c r="BP41" i="1"/>
  <c r="BB43" i="1"/>
  <c r="AH43" i="1"/>
  <c r="BB45" i="1"/>
  <c r="AH40" i="1"/>
  <c r="AH48" i="1"/>
  <c r="BB46" i="1"/>
  <c r="AZ42" i="1"/>
  <c r="AF42" i="1"/>
  <c r="AV42" i="1"/>
  <c r="BH56" i="1"/>
  <c r="BP49" i="1"/>
  <c r="AP56" i="1"/>
  <c r="AT46" i="1"/>
  <c r="AR45" i="1"/>
  <c r="AT45" i="1"/>
  <c r="AT40" i="1"/>
  <c r="AT43" i="1"/>
  <c r="AT48" i="1"/>
  <c r="AR42" i="1"/>
  <c r="AR47" i="1"/>
  <c r="AR44" i="1"/>
  <c r="AR41" i="1"/>
  <c r="AT47" i="1"/>
  <c r="AR49" i="1"/>
  <c r="AT44" i="1"/>
  <c r="AR46" i="1"/>
  <c r="AT41" i="1"/>
  <c r="AT49" i="1"/>
  <c r="AP11" i="1"/>
  <c r="BJ11" i="1"/>
  <c r="R11" i="1"/>
  <c r="BB42" i="1"/>
  <c r="AH42" i="1"/>
  <c r="BP42" i="1"/>
  <c r="BP46" i="1"/>
  <c r="AT42" i="1"/>
  <c r="BP45" i="1"/>
  <c r="BP43" i="1"/>
  <c r="BJ56" i="1"/>
  <c r="AP4" i="1"/>
  <c r="BJ4" i="1"/>
  <c r="R5" i="1"/>
  <c r="R7" i="1"/>
  <c r="AP5" i="1"/>
  <c r="BJ10" i="1"/>
  <c r="AP12" i="1"/>
  <c r="D56" i="1"/>
  <c r="F50" i="1"/>
  <c r="H50" i="1"/>
  <c r="V50" i="1"/>
  <c r="X50" i="1"/>
  <c r="F51" i="1"/>
  <c r="H51" i="1"/>
  <c r="V51" i="1"/>
  <c r="X51" i="1"/>
  <c r="F52" i="1"/>
  <c r="H52" i="1"/>
  <c r="V52" i="1"/>
  <c r="X52" i="1"/>
  <c r="F53" i="1"/>
  <c r="H53" i="1"/>
  <c r="V53" i="1"/>
  <c r="X53" i="1"/>
  <c r="F54" i="1"/>
  <c r="H54" i="1"/>
  <c r="V54" i="1"/>
  <c r="X54" i="1"/>
  <c r="F55" i="1"/>
  <c r="H55" i="1"/>
  <c r="V55" i="1"/>
  <c r="X55" i="1"/>
  <c r="F25" i="1"/>
  <c r="H25" i="1"/>
  <c r="F26" i="1"/>
  <c r="H26" i="1"/>
  <c r="V26" i="1"/>
  <c r="X26" i="1"/>
  <c r="F27" i="1"/>
  <c r="H27" i="1"/>
  <c r="V27" i="1"/>
  <c r="X27" i="1"/>
  <c r="F28" i="1"/>
  <c r="H28" i="1"/>
  <c r="V28" i="1"/>
  <c r="X28" i="1"/>
  <c r="F29" i="1"/>
  <c r="H29" i="1"/>
  <c r="V29" i="1"/>
  <c r="X29" i="1"/>
  <c r="F30" i="1"/>
  <c r="H30" i="1"/>
  <c r="V30" i="1"/>
  <c r="X30" i="1"/>
  <c r="F31" i="1"/>
  <c r="H31" i="1"/>
  <c r="V31" i="1"/>
  <c r="X31" i="1"/>
  <c r="F32" i="1"/>
  <c r="H32" i="1"/>
  <c r="V32" i="1"/>
  <c r="X32" i="1"/>
  <c r="F33" i="1"/>
  <c r="H33" i="1"/>
  <c r="V33" i="1"/>
  <c r="X33" i="1"/>
  <c r="F34" i="1"/>
  <c r="H34" i="1"/>
  <c r="V34" i="1"/>
  <c r="X34" i="1"/>
  <c r="F35" i="1"/>
  <c r="H35" i="1"/>
  <c r="V35" i="1"/>
  <c r="X35" i="1"/>
  <c r="F36" i="1"/>
  <c r="H36" i="1"/>
  <c r="V36" i="1"/>
  <c r="X36" i="1"/>
  <c r="D20" i="1"/>
  <c r="N20" i="1" s="1"/>
  <c r="R12" i="1"/>
  <c r="AR55" i="1"/>
  <c r="AR54" i="1"/>
  <c r="AR53" i="1"/>
  <c r="AR52" i="1"/>
  <c r="AR51" i="1"/>
  <c r="AR50" i="1"/>
  <c r="AR26" i="1"/>
  <c r="AR27" i="1"/>
  <c r="AR28" i="1"/>
  <c r="AR29" i="1"/>
  <c r="AR30" i="1"/>
  <c r="AR31" i="1"/>
  <c r="AR32" i="1"/>
  <c r="AR33" i="1"/>
  <c r="AR34" i="1"/>
  <c r="AR35" i="1"/>
  <c r="AR36" i="1"/>
  <c r="AR25" i="1"/>
  <c r="AF21" i="1"/>
  <c r="AD25" i="1"/>
  <c r="AF25" i="1"/>
  <c r="AD26" i="1"/>
  <c r="AF26" i="1"/>
  <c r="AV26" i="1"/>
  <c r="AD27" i="1"/>
  <c r="AF27" i="1"/>
  <c r="AV27" i="1"/>
  <c r="AD28" i="1"/>
  <c r="AF28" i="1"/>
  <c r="AD29" i="1"/>
  <c r="AF29" i="1"/>
  <c r="AD30" i="1"/>
  <c r="AF30" i="1"/>
  <c r="AV30" i="1"/>
  <c r="AD31" i="1"/>
  <c r="AF31" i="1"/>
  <c r="AV31" i="1"/>
  <c r="AD32" i="1"/>
  <c r="AF32" i="1"/>
  <c r="AD33" i="1"/>
  <c r="AF33" i="1"/>
  <c r="AD34" i="1"/>
  <c r="AF34" i="1"/>
  <c r="AV34" i="1"/>
  <c r="AD35" i="1"/>
  <c r="AF35" i="1"/>
  <c r="AV35" i="1"/>
  <c r="AD36" i="1"/>
  <c r="AF36" i="1"/>
  <c r="AV36" i="1"/>
  <c r="AD50" i="1"/>
  <c r="AF50" i="1"/>
  <c r="AV50" i="1"/>
  <c r="AD51" i="1"/>
  <c r="AF51" i="1"/>
  <c r="AV51" i="1"/>
  <c r="AD52" i="1"/>
  <c r="AF52" i="1"/>
  <c r="AV52" i="1"/>
  <c r="AD53" i="1"/>
  <c r="AF53" i="1"/>
  <c r="AV53" i="1"/>
  <c r="AD54" i="1"/>
  <c r="AF54" i="1"/>
  <c r="AV54" i="1"/>
  <c r="AD55" i="1"/>
  <c r="AF55" i="1"/>
  <c r="AV55" i="1"/>
  <c r="AD84" i="1"/>
  <c r="AF84" i="1"/>
  <c r="AH84" i="1"/>
  <c r="AD85" i="1"/>
  <c r="AF85" i="1"/>
  <c r="AD86" i="1"/>
  <c r="AF86" i="1"/>
  <c r="AD87" i="1"/>
  <c r="AF87" i="1"/>
  <c r="AH87" i="1"/>
  <c r="AD88" i="1"/>
  <c r="AF88" i="1"/>
  <c r="AH88" i="1"/>
  <c r="AD89" i="1"/>
  <c r="AF89" i="1"/>
  <c r="AD90" i="1"/>
  <c r="AF90" i="1"/>
  <c r="AH90" i="1"/>
  <c r="AD91" i="1"/>
  <c r="AF91" i="1"/>
  <c r="AH91" i="1"/>
  <c r="AD80" i="1"/>
  <c r="AF80" i="1"/>
  <c r="AD73" i="1"/>
  <c r="AF73" i="1"/>
  <c r="AD74" i="1"/>
  <c r="AF74" i="1"/>
  <c r="AH74" i="1"/>
  <c r="AD75" i="1"/>
  <c r="AF75" i="1"/>
  <c r="AH75" i="1"/>
  <c r="AD76" i="1"/>
  <c r="AF76" i="1"/>
  <c r="AD65" i="1"/>
  <c r="AF65" i="1"/>
  <c r="AD66" i="1"/>
  <c r="AF66" i="1"/>
  <c r="AD67" i="1"/>
  <c r="AF67" i="1"/>
  <c r="AH67" i="1"/>
  <c r="AD68" i="1"/>
  <c r="AF68" i="1"/>
  <c r="AD69" i="1"/>
  <c r="AF69" i="1"/>
  <c r="H21" i="1"/>
  <c r="F84" i="1"/>
  <c r="H84" i="1"/>
  <c r="F85" i="1"/>
  <c r="H85" i="1"/>
  <c r="J85" i="1"/>
  <c r="F86" i="1"/>
  <c r="H86" i="1"/>
  <c r="J86" i="1"/>
  <c r="F87" i="1"/>
  <c r="H87" i="1"/>
  <c r="F88" i="1"/>
  <c r="H88" i="1"/>
  <c r="F89" i="1"/>
  <c r="H89" i="1"/>
  <c r="J89" i="1"/>
  <c r="F90" i="1"/>
  <c r="H90" i="1"/>
  <c r="J90" i="1"/>
  <c r="F91" i="1"/>
  <c r="H91" i="1"/>
  <c r="F80" i="1"/>
  <c r="H80" i="1"/>
  <c r="F73" i="1"/>
  <c r="H73" i="1"/>
  <c r="J73" i="1"/>
  <c r="F74" i="1"/>
  <c r="H74" i="1"/>
  <c r="F75" i="1"/>
  <c r="H75" i="1"/>
  <c r="F76" i="1"/>
  <c r="H76" i="1"/>
  <c r="J76" i="1"/>
  <c r="F65" i="1"/>
  <c r="H65" i="1"/>
  <c r="F66" i="1"/>
  <c r="H66" i="1"/>
  <c r="J66" i="1"/>
  <c r="F67" i="1"/>
  <c r="H67" i="1"/>
  <c r="J67" i="1"/>
  <c r="F68" i="1"/>
  <c r="H68" i="1"/>
  <c r="J68" i="1"/>
  <c r="F69" i="1"/>
  <c r="H69" i="1"/>
  <c r="J69" i="1"/>
  <c r="AZ91" i="1"/>
  <c r="AZ90" i="1"/>
  <c r="AZ89" i="1"/>
  <c r="AZ88" i="1"/>
  <c r="AZ87" i="1"/>
  <c r="AZ86" i="1"/>
  <c r="AZ85" i="1"/>
  <c r="AZ84" i="1"/>
  <c r="AZ80" i="1"/>
  <c r="AZ81" i="1"/>
  <c r="AZ76" i="1"/>
  <c r="AZ75" i="1"/>
  <c r="AZ74" i="1"/>
  <c r="AZ73" i="1"/>
  <c r="AZ69" i="1"/>
  <c r="AZ68" i="1"/>
  <c r="AZ67" i="1"/>
  <c r="AZ66" i="1"/>
  <c r="AZ65" i="1"/>
  <c r="AD113" i="1"/>
  <c r="AD110" i="1"/>
  <c r="AH110" i="1"/>
  <c r="AD109" i="1"/>
  <c r="AH109" i="1"/>
  <c r="AD106" i="1"/>
  <c r="AD105" i="1"/>
  <c r="AD20" i="1"/>
  <c r="AB92" i="1"/>
  <c r="AB81" i="1"/>
  <c r="AB77" i="1"/>
  <c r="AB70" i="1"/>
  <c r="F113" i="1"/>
  <c r="F110" i="1"/>
  <c r="F109" i="1"/>
  <c r="F106" i="1"/>
  <c r="J106" i="1"/>
  <c r="F105" i="1"/>
  <c r="F20" i="1"/>
  <c r="D92" i="1"/>
  <c r="D81" i="1"/>
  <c r="D77" i="1"/>
  <c r="D70" i="1"/>
  <c r="BB20" i="1"/>
  <c r="BB21" i="1" s="1"/>
  <c r="BH107" i="1"/>
  <c r="BH111" i="1"/>
  <c r="BH114" i="1"/>
  <c r="BL114" i="1"/>
  <c r="BL111" i="1"/>
  <c r="BL107" i="1"/>
  <c r="BJ114" i="1"/>
  <c r="BJ111" i="1"/>
  <c r="BJ107" i="1"/>
  <c r="BP114" i="1"/>
  <c r="BP111" i="1"/>
  <c r="BP107" i="1"/>
  <c r="BP99" i="1"/>
  <c r="AL58" i="1"/>
  <c r="AV114" i="1"/>
  <c r="AV113" i="1"/>
  <c r="AV111" i="1"/>
  <c r="AV110" i="1"/>
  <c r="AV109" i="1"/>
  <c r="AV107" i="1"/>
  <c r="AV106" i="1"/>
  <c r="AV105" i="1"/>
  <c r="AH20" i="1"/>
  <c r="AH21" i="1" s="1"/>
  <c r="AB20" i="1"/>
  <c r="AB21" i="1" s="1"/>
  <c r="J20" i="1"/>
  <c r="J21" i="1"/>
  <c r="J101" i="1" s="1"/>
  <c r="BB10" i="1"/>
  <c r="BD42" i="1"/>
  <c r="AZ26" i="1"/>
  <c r="AZ27" i="1"/>
  <c r="AZ28" i="1"/>
  <c r="AZ31" i="1"/>
  <c r="AZ34" i="1"/>
  <c r="AZ35" i="1"/>
  <c r="AZ36" i="1"/>
  <c r="AZ50" i="1"/>
  <c r="AZ52" i="1"/>
  <c r="AZ54" i="1"/>
  <c r="AZ106" i="1"/>
  <c r="AZ110" i="1"/>
  <c r="AZ51" i="1"/>
  <c r="AZ53" i="1"/>
  <c r="AZ55" i="1"/>
  <c r="AZ113" i="1"/>
  <c r="AZ114" i="1"/>
  <c r="AB107" i="1"/>
  <c r="AZ105" i="1"/>
  <c r="AB111" i="1"/>
  <c r="AZ109" i="1"/>
  <c r="AZ30" i="1"/>
  <c r="AZ29" i="1"/>
  <c r="AZ33" i="1"/>
  <c r="AZ32" i="1"/>
  <c r="AB114" i="1"/>
  <c r="D107" i="1"/>
  <c r="D111" i="1"/>
  <c r="D114" i="1"/>
  <c r="AZ25" i="1"/>
  <c r="V25" i="1"/>
  <c r="H37" i="1"/>
  <c r="AT20" i="1"/>
  <c r="AT21" i="1" s="1"/>
  <c r="AT60" i="1" s="1"/>
  <c r="BJ20" i="1"/>
  <c r="AZ111" i="1"/>
  <c r="D21" i="1"/>
  <c r="AT28" i="1"/>
  <c r="AH35" i="1"/>
  <c r="AT33" i="1"/>
  <c r="AT25" i="1"/>
  <c r="AT32" i="1"/>
  <c r="AR20" i="1"/>
  <c r="BH116" i="1"/>
  <c r="AZ107" i="1"/>
  <c r="V21" i="1"/>
  <c r="V60" i="1" s="1"/>
  <c r="X60" i="1" s="1"/>
  <c r="AZ77" i="1"/>
  <c r="J27" i="1"/>
  <c r="AF81" i="1"/>
  <c r="AH80" i="1"/>
  <c r="AH81" i="1"/>
  <c r="J26" i="1"/>
  <c r="J25" i="1"/>
  <c r="J32" i="1"/>
  <c r="J53" i="1"/>
  <c r="J52" i="1"/>
  <c r="J51" i="1"/>
  <c r="AB116" i="1"/>
  <c r="BL44" i="1"/>
  <c r="BL34" i="1"/>
  <c r="BL26" i="1"/>
  <c r="BL42" i="1"/>
  <c r="BL43" i="1"/>
  <c r="BL48" i="1"/>
  <c r="BL47" i="1"/>
  <c r="BL25" i="1"/>
  <c r="BL51" i="1"/>
  <c r="BL27" i="1"/>
  <c r="BL40" i="1"/>
  <c r="BL36" i="1"/>
  <c r="BL30" i="1"/>
  <c r="BL28" i="1"/>
  <c r="BL29" i="1"/>
  <c r="BL52" i="1"/>
  <c r="BL46" i="1"/>
  <c r="BL45" i="1"/>
  <c r="BL31" i="1"/>
  <c r="BL33" i="1"/>
  <c r="BL32" i="1"/>
  <c r="BL41" i="1"/>
  <c r="BL50" i="1"/>
  <c r="BL54" i="1"/>
  <c r="BL55" i="1"/>
  <c r="BL49" i="1"/>
  <c r="BL53" i="1"/>
  <c r="AT50" i="1"/>
  <c r="AF56" i="1"/>
  <c r="AV56" i="1"/>
  <c r="AT55" i="1"/>
  <c r="J36" i="1"/>
  <c r="J29" i="1"/>
  <c r="J55" i="1"/>
  <c r="J50" i="1"/>
  <c r="AT54" i="1"/>
  <c r="AT53" i="1"/>
  <c r="J34" i="1"/>
  <c r="D58" i="1"/>
  <c r="D60" i="1"/>
  <c r="BB73" i="1"/>
  <c r="BD73" i="1"/>
  <c r="J33" i="1"/>
  <c r="AV116" i="1"/>
  <c r="AZ56" i="1"/>
  <c r="BD44" i="1"/>
  <c r="BD47" i="1"/>
  <c r="BD41" i="1"/>
  <c r="BD49" i="1"/>
  <c r="BD40" i="1"/>
  <c r="BD48" i="1"/>
  <c r="BD45" i="1"/>
  <c r="BD46" i="1"/>
  <c r="BD43" i="1"/>
  <c r="AT52" i="1"/>
  <c r="AH111" i="1"/>
  <c r="AT51" i="1"/>
  <c r="AR56" i="1"/>
  <c r="AH106" i="1"/>
  <c r="BB106" i="1"/>
  <c r="BD106" i="1"/>
  <c r="H81" i="1"/>
  <c r="V81" i="1"/>
  <c r="X81" i="1"/>
  <c r="J80" i="1"/>
  <c r="J81" i="1"/>
  <c r="AH34" i="1"/>
  <c r="AT34" i="1"/>
  <c r="BB34" i="1"/>
  <c r="BP34" i="1"/>
  <c r="AH27" i="1"/>
  <c r="AT27" i="1"/>
  <c r="BB27" i="1"/>
  <c r="BN27" i="1"/>
  <c r="J35" i="1"/>
  <c r="BB35" i="1"/>
  <c r="BD35" i="1"/>
  <c r="BB53" i="1"/>
  <c r="BP53" i="1"/>
  <c r="AH53" i="1"/>
  <c r="AT26" i="1"/>
  <c r="BB26" i="1"/>
  <c r="BN26" i="1"/>
  <c r="AH26" i="1"/>
  <c r="BB67" i="1"/>
  <c r="BD67" i="1"/>
  <c r="AT31" i="1"/>
  <c r="AH31" i="1"/>
  <c r="BP116" i="1"/>
  <c r="AZ70" i="1"/>
  <c r="AL101" i="1"/>
  <c r="AF111" i="1"/>
  <c r="AT35" i="1"/>
  <c r="AH30" i="1"/>
  <c r="AT30" i="1"/>
  <c r="AZ92" i="1"/>
  <c r="AT36" i="1"/>
  <c r="BL116" i="1"/>
  <c r="AT29" i="1"/>
  <c r="BJ116" i="1"/>
  <c r="AL20" i="1"/>
  <c r="BB86" i="1"/>
  <c r="BD86" i="1"/>
  <c r="BJ12" i="1"/>
  <c r="AB58" i="1"/>
  <c r="AF107" i="1"/>
  <c r="AH105" i="1"/>
  <c r="BB105" i="1"/>
  <c r="J75" i="1"/>
  <c r="BB75" i="1"/>
  <c r="BD75" i="1"/>
  <c r="BB29" i="1"/>
  <c r="BP29" i="1"/>
  <c r="AH29" i="1"/>
  <c r="H107" i="1"/>
  <c r="J105" i="1"/>
  <c r="J107" i="1"/>
  <c r="J74" i="1"/>
  <c r="BB74" i="1"/>
  <c r="BD74" i="1"/>
  <c r="BB69" i="1"/>
  <c r="BD69" i="1"/>
  <c r="AH69" i="1"/>
  <c r="AH28" i="1"/>
  <c r="BB28" i="1"/>
  <c r="BP28" i="1"/>
  <c r="H77" i="1"/>
  <c r="V77" i="1"/>
  <c r="X77" i="1"/>
  <c r="J88" i="1"/>
  <c r="BB88" i="1"/>
  <c r="BD88" i="1"/>
  <c r="BB68" i="1"/>
  <c r="BD68" i="1"/>
  <c r="AH68" i="1"/>
  <c r="AH52" i="1"/>
  <c r="BB52" i="1"/>
  <c r="BD52" i="1"/>
  <c r="BB33" i="1"/>
  <c r="BP33" i="1"/>
  <c r="AH33" i="1"/>
  <c r="BB87" i="1"/>
  <c r="BD87" i="1"/>
  <c r="J87" i="1"/>
  <c r="BB85" i="1"/>
  <c r="BD85" i="1"/>
  <c r="AH85" i="1"/>
  <c r="AH51" i="1"/>
  <c r="BB51" i="1"/>
  <c r="BD51" i="1"/>
  <c r="BB32" i="1"/>
  <c r="BP32" i="1"/>
  <c r="AH32" i="1"/>
  <c r="J109" i="1"/>
  <c r="BB109" i="1"/>
  <c r="H111" i="1"/>
  <c r="AH113" i="1"/>
  <c r="AH114" i="1"/>
  <c r="BB113" i="1"/>
  <c r="AF114" i="1"/>
  <c r="BB89" i="1"/>
  <c r="BD89" i="1"/>
  <c r="AH89" i="1"/>
  <c r="AF92" i="1"/>
  <c r="BB50" i="1"/>
  <c r="AH50" i="1"/>
  <c r="BB31" i="1"/>
  <c r="BP31" i="1"/>
  <c r="J31" i="1"/>
  <c r="BB110" i="1"/>
  <c r="BD110" i="1"/>
  <c r="J110" i="1"/>
  <c r="AH66" i="1"/>
  <c r="BB66" i="1"/>
  <c r="BD66" i="1"/>
  <c r="AH36" i="1"/>
  <c r="BB36" i="1"/>
  <c r="BP36" i="1"/>
  <c r="J30" i="1"/>
  <c r="BB30" i="1"/>
  <c r="BP30" i="1"/>
  <c r="AF70" i="1"/>
  <c r="AH65" i="1"/>
  <c r="BB65" i="1"/>
  <c r="BD65" i="1"/>
  <c r="H114" i="1"/>
  <c r="J113" i="1"/>
  <c r="J114" i="1"/>
  <c r="J65" i="1"/>
  <c r="J70" i="1"/>
  <c r="H70" i="1"/>
  <c r="V70" i="1"/>
  <c r="X70" i="1"/>
  <c r="BB91" i="1"/>
  <c r="BD91" i="1"/>
  <c r="J91" i="1"/>
  <c r="AH55" i="1"/>
  <c r="BB55" i="1"/>
  <c r="BD55" i="1"/>
  <c r="BB25" i="1"/>
  <c r="AH25" i="1"/>
  <c r="J84" i="1"/>
  <c r="BB84" i="1"/>
  <c r="BD84" i="1"/>
  <c r="H92" i="1"/>
  <c r="V92" i="1"/>
  <c r="AH76" i="1"/>
  <c r="BB76" i="1"/>
  <c r="BD76" i="1"/>
  <c r="BB54" i="1"/>
  <c r="BD54" i="1"/>
  <c r="AH54" i="1"/>
  <c r="J28" i="1"/>
  <c r="J54" i="1"/>
  <c r="H56" i="1"/>
  <c r="BD27" i="1"/>
  <c r="AH73" i="1"/>
  <c r="BB90" i="1"/>
  <c r="BD90" i="1"/>
  <c r="AF77" i="1"/>
  <c r="BD20" i="1"/>
  <c r="BD21" i="1" s="1"/>
  <c r="AH86" i="1"/>
  <c r="BB80" i="1"/>
  <c r="T56" i="1"/>
  <c r="AP7" i="1"/>
  <c r="BJ7" i="1"/>
  <c r="BJ5" i="1"/>
  <c r="J37" i="1"/>
  <c r="BN25" i="1"/>
  <c r="BB37" i="1"/>
  <c r="X25" i="1"/>
  <c r="V37" i="1"/>
  <c r="X92" i="1"/>
  <c r="V99" i="1"/>
  <c r="AB101" i="1"/>
  <c r="D101" i="1"/>
  <c r="D118" i="1" s="1"/>
  <c r="BD53" i="1"/>
  <c r="AZ99" i="1"/>
  <c r="AZ116" i="1"/>
  <c r="J56" i="1"/>
  <c r="BD70" i="1"/>
  <c r="AH107" i="1"/>
  <c r="BD26" i="1"/>
  <c r="D116" i="1"/>
  <c r="AH77" i="1"/>
  <c r="J77" i="1"/>
  <c r="BB56" i="1"/>
  <c r="BP56" i="1"/>
  <c r="BD77" i="1"/>
  <c r="BP50" i="1"/>
  <c r="BP27" i="1"/>
  <c r="AT56" i="1"/>
  <c r="BB81" i="1"/>
  <c r="BD80" i="1"/>
  <c r="BD81" i="1"/>
  <c r="AH56" i="1"/>
  <c r="AP58" i="1"/>
  <c r="BD34" i="1"/>
  <c r="BN34" i="1"/>
  <c r="BP55" i="1"/>
  <c r="AZ58" i="1"/>
  <c r="BP25" i="1"/>
  <c r="BP51" i="1"/>
  <c r="BL56" i="1"/>
  <c r="BP52" i="1"/>
  <c r="BP26" i="1"/>
  <c r="BJ21" i="1"/>
  <c r="BL20" i="1"/>
  <c r="BN20" i="1"/>
  <c r="BN21" i="1" s="1"/>
  <c r="BN60" i="1" s="1"/>
  <c r="AR58" i="1"/>
  <c r="BP54" i="1"/>
  <c r="BD92" i="1"/>
  <c r="BD32" i="1"/>
  <c r="BN32" i="1"/>
  <c r="BD33" i="1"/>
  <c r="BN33" i="1"/>
  <c r="BD28" i="1"/>
  <c r="BN28" i="1"/>
  <c r="BD31" i="1"/>
  <c r="BN31" i="1"/>
  <c r="BD30" i="1"/>
  <c r="BN30" i="1"/>
  <c r="BD36" i="1"/>
  <c r="BN36" i="1"/>
  <c r="BD29" i="1"/>
  <c r="BN29" i="1"/>
  <c r="AL21" i="1"/>
  <c r="AL60" i="1"/>
  <c r="BB77" i="1"/>
  <c r="AR21" i="1"/>
  <c r="AR101" i="1"/>
  <c r="AV21" i="1"/>
  <c r="V56" i="1"/>
  <c r="X56" i="1"/>
  <c r="H58" i="1"/>
  <c r="H60" i="1"/>
  <c r="BB114" i="1"/>
  <c r="BD113" i="1"/>
  <c r="BD114" i="1"/>
  <c r="BD50" i="1"/>
  <c r="AH92" i="1"/>
  <c r="BB107" i="1"/>
  <c r="BD105" i="1"/>
  <c r="BD107" i="1"/>
  <c r="AF58" i="1"/>
  <c r="AF60" i="1"/>
  <c r="AV99" i="1"/>
  <c r="BB111" i="1"/>
  <c r="BD109" i="1"/>
  <c r="BD111" i="1"/>
  <c r="J111" i="1"/>
  <c r="BB92" i="1"/>
  <c r="J92" i="1"/>
  <c r="BD25" i="1"/>
  <c r="BB70" i="1"/>
  <c r="BJ6" i="1"/>
  <c r="AH70" i="1"/>
  <c r="BD37" i="1"/>
  <c r="AP130" i="1"/>
  <c r="AP127" i="1"/>
  <c r="D103" i="1"/>
  <c r="AB118" i="1"/>
  <c r="AL103" i="1"/>
  <c r="AV118" i="1"/>
  <c r="AR103" i="1"/>
  <c r="H101" i="1"/>
  <c r="H103" i="1" s="1"/>
  <c r="X99" i="1"/>
  <c r="BB58" i="1"/>
  <c r="J58" i="1"/>
  <c r="J60" i="1"/>
  <c r="R60" i="1"/>
  <c r="AZ101" i="1"/>
  <c r="BD56" i="1"/>
  <c r="J99" i="1"/>
  <c r="BL21" i="1"/>
  <c r="BN56" i="1"/>
  <c r="BD99" i="1"/>
  <c r="BD116" i="1"/>
  <c r="T101" i="1"/>
  <c r="T103" i="1"/>
  <c r="BH58" i="1"/>
  <c r="BH101" i="1"/>
  <c r="AV58" i="1"/>
  <c r="AP60" i="1"/>
  <c r="AV60" i="1"/>
  <c r="AT58" i="1"/>
  <c r="AR60" i="1"/>
  <c r="H116" i="1"/>
  <c r="AF101" i="1"/>
  <c r="AF103" i="1" s="1"/>
  <c r="AH58" i="1"/>
  <c r="BB99" i="1"/>
  <c r="AH116" i="1"/>
  <c r="AF116" i="1"/>
  <c r="AT101" i="1"/>
  <c r="AZ118" i="1"/>
  <c r="R130" i="1"/>
  <c r="R127" i="1"/>
  <c r="H118" i="1"/>
  <c r="L99" i="1" s="1"/>
  <c r="BH118" i="1"/>
  <c r="V101" i="1"/>
  <c r="X101" i="1" s="1"/>
  <c r="V58" i="1"/>
  <c r="X37" i="1"/>
  <c r="J116" i="1"/>
  <c r="T58" i="1"/>
  <c r="T60" i="1"/>
  <c r="BL35" i="1"/>
  <c r="BN35" i="1"/>
  <c r="BP35" i="1"/>
  <c r="BD58" i="1"/>
  <c r="BB116" i="1"/>
  <c r="AF121" i="1"/>
  <c r="AF118" i="1"/>
  <c r="AJ111" i="1" s="1"/>
  <c r="L114" i="1"/>
  <c r="L21" i="1"/>
  <c r="L107" i="1"/>
  <c r="L118" i="1"/>
  <c r="L111" i="1"/>
  <c r="L116" i="1"/>
  <c r="L56" i="1"/>
  <c r="L37" i="1"/>
  <c r="BN37" i="1"/>
  <c r="BN58" i="1"/>
  <c r="X58" i="1"/>
  <c r="BL58" i="1"/>
  <c r="BL60" i="1"/>
  <c r="BL101" i="1"/>
  <c r="BJ58" i="1"/>
  <c r="BJ101" i="1"/>
  <c r="AJ118" i="1"/>
  <c r="AJ21" i="1"/>
  <c r="AJ107" i="1"/>
  <c r="AJ99" i="1"/>
  <c r="AJ101" i="1"/>
  <c r="AF122" i="1"/>
  <c r="BL118" i="1"/>
  <c r="BL103" i="1"/>
  <c r="BJ118" i="1"/>
  <c r="BJ103" i="1"/>
  <c r="BJ60" i="1"/>
  <c r="BP58" i="1"/>
  <c r="BJ130" i="1"/>
  <c r="BJ127" i="1"/>
  <c r="AV101" i="1"/>
  <c r="BH20" i="1" l="1"/>
  <c r="BH21" i="1" s="1"/>
  <c r="N21" i="1"/>
  <c r="R121" i="1"/>
  <c r="V103" i="1"/>
  <c r="J118" i="1"/>
  <c r="J103" i="1"/>
  <c r="L101" i="1"/>
  <c r="H121" i="1"/>
  <c r="H122" i="1" s="1"/>
  <c r="AB60" i="1"/>
  <c r="AB103" i="1"/>
  <c r="BB60" i="1"/>
  <c r="BP60" i="1" s="1"/>
  <c r="BP21" i="1"/>
  <c r="BB101" i="1"/>
  <c r="AH60" i="1"/>
  <c r="AH101" i="1"/>
  <c r="AP121" i="1"/>
  <c r="AT103" i="1"/>
  <c r="AP131" i="1"/>
  <c r="BD101" i="1"/>
  <c r="BD60" i="1"/>
  <c r="AJ114" i="1"/>
  <c r="AJ56" i="1"/>
  <c r="AV20" i="1"/>
  <c r="AJ37" i="1"/>
  <c r="AJ116" i="1"/>
  <c r="AZ20" i="1"/>
  <c r="X103" i="1" l="1"/>
  <c r="R122" i="1"/>
  <c r="R131" i="1"/>
  <c r="R132" i="1" s="1"/>
  <c r="R123" i="1"/>
  <c r="N60" i="1"/>
  <c r="N101" i="1"/>
  <c r="N103" i="1" s="1"/>
  <c r="BH60" i="1"/>
  <c r="BH103" i="1"/>
  <c r="AH118" i="1"/>
  <c r="AH103" i="1"/>
  <c r="BB121" i="1"/>
  <c r="BB122" i="1" s="1"/>
  <c r="BB103" i="1"/>
  <c r="BN103" i="1" s="1"/>
  <c r="BB118" i="1"/>
  <c r="BF101" i="1"/>
  <c r="BD118" i="1"/>
  <c r="BD103" i="1"/>
  <c r="AZ21" i="1"/>
  <c r="BP20" i="1"/>
  <c r="BJ131" i="1"/>
  <c r="BJ137" i="1" s="1"/>
  <c r="AP132" i="1"/>
  <c r="BJ132" i="1" s="1"/>
  <c r="AV103" i="1"/>
  <c r="AP122" i="1"/>
  <c r="BJ122" i="1" s="1"/>
  <c r="BJ121" i="1"/>
  <c r="BJ123" i="1" s="1"/>
  <c r="AP123" i="1"/>
  <c r="BP118" i="1" l="1"/>
  <c r="BP101" i="1"/>
  <c r="BF107" i="1"/>
  <c r="BF56" i="1"/>
  <c r="BF99" i="1"/>
  <c r="BF116" i="1"/>
  <c r="BF118" i="1"/>
  <c r="BF37" i="1"/>
  <c r="BF111" i="1"/>
  <c r="BF114" i="1"/>
  <c r="BF21" i="1"/>
  <c r="AZ60" i="1"/>
  <c r="AZ103" i="1"/>
  <c r="BP103" i="1" s="1"/>
</calcChain>
</file>

<file path=xl/sharedStrings.xml><?xml version="1.0" encoding="utf-8"?>
<sst xmlns="http://schemas.openxmlformats.org/spreadsheetml/2006/main" count="239" uniqueCount="116">
  <si>
    <t>ADC briefing meetings</t>
  </si>
  <si>
    <t>HSA and VHC briefing meetings</t>
  </si>
  <si>
    <t>Briefing meeting with District Executive Committee members</t>
  </si>
  <si>
    <t>Household registration</t>
  </si>
  <si>
    <t xml:space="preserve">Data entry </t>
  </si>
  <si>
    <t>Printing registers</t>
  </si>
  <si>
    <t>Other stationery</t>
  </si>
  <si>
    <t>Transport for net distribution</t>
  </si>
  <si>
    <t>Refreshments for VHC and village leaders during distribution</t>
  </si>
  <si>
    <t>Allowances for HSA during distribution</t>
  </si>
  <si>
    <t>Fuel for SHSA for distribution</t>
  </si>
  <si>
    <t xml:space="preserve">Data verification </t>
  </si>
  <si>
    <t>CU vehicle cost- wear &amp; tear</t>
  </si>
  <si>
    <t>Binding registers</t>
  </si>
  <si>
    <t>Distribution phase</t>
  </si>
  <si>
    <t>Stationery</t>
  </si>
  <si>
    <t>Transport support costs</t>
  </si>
  <si>
    <t>Post distribution follow-up (6 months)</t>
  </si>
  <si>
    <t>Budget</t>
  </si>
  <si>
    <t>(MK)</t>
  </si>
  <si>
    <t>TOTAL</t>
  </si>
  <si>
    <t>Actual</t>
  </si>
  <si>
    <t>Post-distribution follow up - 12 months</t>
  </si>
  <si>
    <t>Post-distribution follow up - 18 months</t>
  </si>
  <si>
    <t>Post-distribution follow up - 24 months</t>
  </si>
  <si>
    <t>Post-distribution follow up - 30 months</t>
  </si>
  <si>
    <t>Post-distribution follow up - 36 months</t>
  </si>
  <si>
    <t>YEAR 1 SUBTOTAL</t>
  </si>
  <si>
    <t>YEAR 2 SUBTOTAL</t>
  </si>
  <si>
    <t>YEAR 3 SUBTOTAL</t>
  </si>
  <si>
    <t>YEAR 4 SUBTOTAL</t>
  </si>
  <si>
    <t>All Shipping costs and clearing charges</t>
  </si>
  <si>
    <t>(USD)</t>
  </si>
  <si>
    <t>vs Budget</t>
  </si>
  <si>
    <t>Pre-Distribution phase</t>
  </si>
  <si>
    <t>Shipping</t>
  </si>
  <si>
    <t>Balaka District</t>
  </si>
  <si>
    <t>Dedza District</t>
  </si>
  <si>
    <t>Combined</t>
  </si>
  <si>
    <t>per net</t>
  </si>
  <si>
    <t>NET DISTRIBUTION NON-NET COSTS</t>
  </si>
  <si>
    <t>Post-distribution sub total</t>
  </si>
  <si>
    <t># LLINs:</t>
  </si>
  <si>
    <t>(1)</t>
  </si>
  <si>
    <t>(2)</t>
  </si>
  <si>
    <t>(3)</t>
  </si>
  <si>
    <t>(4)</t>
  </si>
  <si>
    <t>(5)</t>
  </si>
  <si>
    <t>(6)</t>
  </si>
  <si>
    <t>(7)</t>
  </si>
  <si>
    <t>(8)</t>
  </si>
  <si>
    <t>Temporary staff costs (distribution)</t>
  </si>
  <si>
    <t>Temporary staff costs (pre-distribution)</t>
  </si>
  <si>
    <t>AGREED BUDGET</t>
  </si>
  <si>
    <t>Warehouse hire</t>
  </si>
  <si>
    <t>First year, excluding shipping</t>
  </si>
  <si>
    <t>BRIEFING  PDS TO HSAs</t>
  </si>
  <si>
    <t xml:space="preserve">HSAs </t>
  </si>
  <si>
    <t>HSAs</t>
  </si>
  <si>
    <t>Refreshments</t>
  </si>
  <si>
    <t>Supervisors</t>
  </si>
  <si>
    <t>Drivers Allowances</t>
  </si>
  <si>
    <t>Fuel</t>
  </si>
  <si>
    <t>Paper</t>
  </si>
  <si>
    <t>Pencils</t>
  </si>
  <si>
    <t>Clear bags</t>
  </si>
  <si>
    <t>Ink pads</t>
  </si>
  <si>
    <t>Toner</t>
  </si>
  <si>
    <t>Ink</t>
  </si>
  <si>
    <t>Arklever files</t>
  </si>
  <si>
    <t>Pens</t>
  </si>
  <si>
    <t>Appplied Aug 2013:</t>
  </si>
  <si>
    <t>Applied Nov 2013:</t>
  </si>
  <si>
    <t>Estimated future rate:</t>
  </si>
  <si>
    <t>X-Rate</t>
  </si>
  <si>
    <t>Applied</t>
  </si>
  <si>
    <t>X-Rate (USD: MWK) MWK = Malawi Kwatcha</t>
  </si>
  <si>
    <t>Sub total (a)</t>
  </si>
  <si>
    <t>Sub total (b)</t>
  </si>
  <si>
    <t>Sub Total (d)</t>
  </si>
  <si>
    <t>Sub total (c)</t>
  </si>
  <si>
    <t>Data entry</t>
  </si>
  <si>
    <t>Data collection</t>
  </si>
  <si>
    <t>First year, includes shipping</t>
  </si>
  <si>
    <t>Actual (May14)</t>
  </si>
  <si>
    <t>Original LLINs</t>
  </si>
  <si>
    <t>Cost per net</t>
  </si>
  <si>
    <t>Total cost</t>
  </si>
  <si>
    <t>Cost/net for increase</t>
  </si>
  <si>
    <t>Total cost of increase</t>
  </si>
  <si>
    <t>Allowances for data clerks</t>
  </si>
  <si>
    <t>(USD), %</t>
  </si>
  <si>
    <t>Sep 2014</t>
  </si>
  <si>
    <t>Transferred to CU</t>
  </si>
  <si>
    <t>Reports writing -for all clusters</t>
  </si>
  <si>
    <t>CU Staff Costs</t>
  </si>
  <si>
    <t>Sub total 1 (shipping)</t>
  </si>
  <si>
    <t>Sub total 2 (pre-distribution)</t>
  </si>
  <si>
    <t>Sub total 3 (distribution)</t>
  </si>
  <si>
    <t>Sub total 4 (pre-distribution + distribution)</t>
  </si>
  <si>
    <t>Sub total 5 (shipping + pre-distribution + distribution)</t>
  </si>
  <si>
    <t>Sub total 6 (post-distribution)</t>
  </si>
  <si>
    <t>AMF born (Actual) USD</t>
  </si>
  <si>
    <t>CU born (Actual) USD</t>
  </si>
  <si>
    <t>Eventual increase (USD)</t>
  </si>
  <si>
    <t>Eventual increase (#nets)</t>
  </si>
  <si>
    <t>YEAR 1 SUBTOTAL - Shipping</t>
  </si>
  <si>
    <t>CU expenditure in-country</t>
  </si>
  <si>
    <t>Owed to CU</t>
  </si>
  <si>
    <t>Additional Clearingh Charge</t>
  </si>
  <si>
    <t>Sub Total (e)</t>
  </si>
  <si>
    <t>Management</t>
  </si>
  <si>
    <t>AMF borne (Actual) USD</t>
  </si>
  <si>
    <t>CU borne (Actual) USD</t>
  </si>
  <si>
    <t>AMF borne</t>
  </si>
  <si>
    <t>CU borne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</si>
</sst>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Red]\+#,##0;[Blue]\-#,##0;[Blue]\+0"/>
    <numFmt numFmtId="167" formatCode="[Red]\+#,##0%;[Blue]\-#,##0%;[Blue]0%"/>
    <numFmt numFmtId="168" formatCode="#,##0.000"/>
    <numFmt numFmtId="169" formatCode="[Red]\+#,##0%;[Blue]\-#,##0%"/>
    <numFmt numFmtId="170" formatCode="\$#,##0.00;\-\$#,##0.00"/>
    <numFmt numFmtId="171" formatCode="\$#,##0.000;\-\$#,##0.000"/>
    <numFmt numFmtId="172" formatCode="\$#,##0;\-\$#,##0"/>
    <numFmt numFmtId="173" formatCode="_-* #,##0_-;\-* #,##0_-;_-* &quot;-&quot;??_-;_-@_-"/>
    <numFmt numFmtId="174" formatCode="\$#,##0.0;\-\$#,##0.0"/>
    <numFmt numFmtId="175" formatCode="[Red]\+#,##0;[Blue]\-#,##0"/>
    <numFmt numFmtId="176" formatCode="\$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234">
    <xf numFmtId="0" fontId="0" fillId="0" borderId="0" xfId="0"/>
    <xf numFmtId="4" fontId="2" fillId="0" borderId="0" xfId="0" applyNumberFormat="1" applyFont="1" applyFill="1" applyBorder="1" applyAlignment="1">
      <alignment wrapText="1"/>
    </xf>
    <xf numFmtId="0" fontId="2" fillId="0" borderId="0" xfId="0" applyFont="1"/>
    <xf numFmtId="0" fontId="0" fillId="0" borderId="0" xfId="0" applyFont="1"/>
    <xf numFmtId="0" fontId="0" fillId="0" borderId="0" xfId="0" applyFont="1" applyAlignment="1"/>
    <xf numFmtId="0" fontId="0" fillId="0" borderId="0" xfId="0" applyFont="1" applyFill="1"/>
    <xf numFmtId="0" fontId="2" fillId="0" borderId="0" xfId="0" applyFont="1" applyBorder="1"/>
    <xf numFmtId="3" fontId="2" fillId="3" borderId="0" xfId="0" applyNumberFormat="1" applyFont="1" applyFill="1"/>
    <xf numFmtId="0" fontId="6" fillId="0" borderId="0" xfId="0" applyFont="1" applyBorder="1" applyAlignment="1">
      <alignment horizontal="right"/>
    </xf>
    <xf numFmtId="3" fontId="0" fillId="0" borderId="0" xfId="0" applyNumberFormat="1" applyFont="1" applyFill="1"/>
    <xf numFmtId="0" fontId="2" fillId="0" borderId="0" xfId="0" applyFont="1" applyFill="1" applyBorder="1" applyAlignment="1">
      <alignment wrapText="1"/>
    </xf>
    <xf numFmtId="0" fontId="2" fillId="3" borderId="0" xfId="0" applyFont="1" applyFill="1"/>
    <xf numFmtId="3" fontId="2" fillId="0" borderId="1" xfId="0" applyNumberFormat="1" applyFont="1" applyFill="1" applyBorder="1" applyAlignment="1">
      <alignment wrapText="1"/>
    </xf>
    <xf numFmtId="0" fontId="2" fillId="0" borderId="0" xfId="0" applyFont="1"/>
    <xf numFmtId="0" fontId="0" fillId="0" borderId="0" xfId="0" applyFont="1"/>
    <xf numFmtId="0" fontId="0" fillId="0" borderId="0" xfId="0" applyFont="1" applyAlignment="1"/>
    <xf numFmtId="0" fontId="0" fillId="0" borderId="0" xfId="0" applyFont="1" applyFill="1"/>
    <xf numFmtId="3" fontId="2" fillId="0" borderId="0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Font="1" applyBorder="1"/>
    <xf numFmtId="3" fontId="0" fillId="0" borderId="0" xfId="0" applyNumberFormat="1" applyFont="1"/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Fill="1"/>
    <xf numFmtId="0" fontId="0" fillId="0" borderId="0" xfId="0" applyFont="1" applyFill="1" applyBorder="1"/>
    <xf numFmtId="3" fontId="2" fillId="0" borderId="0" xfId="0" applyNumberFormat="1" applyFont="1" applyBorder="1"/>
    <xf numFmtId="3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/>
    <xf numFmtId="165" fontId="2" fillId="0" borderId="0" xfId="0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4" fontId="0" fillId="0" borderId="0" xfId="0" applyNumberFormat="1" applyFont="1"/>
    <xf numFmtId="4" fontId="2" fillId="0" borderId="0" xfId="0" applyNumberFormat="1" applyFont="1" applyBorder="1"/>
    <xf numFmtId="164" fontId="2" fillId="0" borderId="0" xfId="0" applyNumberFormat="1" applyFont="1" applyBorder="1" applyAlignment="1">
      <alignment wrapText="1"/>
    </xf>
    <xf numFmtId="9" fontId="2" fillId="0" borderId="0" xfId="1" applyFont="1" applyBorder="1"/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7" fillId="0" borderId="0" xfId="0" applyFont="1" applyBorder="1" applyAlignment="1">
      <alignment horizontal="left"/>
    </xf>
    <xf numFmtId="0" fontId="2" fillId="0" borderId="5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/>
    <xf numFmtId="9" fontId="4" fillId="0" borderId="0" xfId="1" applyFont="1" applyBorder="1"/>
    <xf numFmtId="49" fontId="5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 applyBorder="1"/>
    <xf numFmtId="17" fontId="7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49" fontId="5" fillId="0" borderId="6" xfId="0" applyNumberFormat="1" applyFont="1" applyBorder="1" applyAlignment="1">
      <alignment horizontal="right"/>
    </xf>
    <xf numFmtId="0" fontId="9" fillId="0" borderId="7" xfId="0" applyFont="1" applyBorder="1"/>
    <xf numFmtId="49" fontId="5" fillId="0" borderId="7" xfId="0" applyNumberFormat="1" applyFont="1" applyBorder="1" applyAlignment="1">
      <alignment horizontal="right"/>
    </xf>
    <xf numFmtId="3" fontId="5" fillId="0" borderId="7" xfId="0" applyNumberFormat="1" applyFont="1" applyFill="1" applyBorder="1" applyAlignment="1">
      <alignment horizontal="center"/>
    </xf>
    <xf numFmtId="49" fontId="5" fillId="0" borderId="8" xfId="0" applyNumberFormat="1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8" fillId="0" borderId="0" xfId="0" applyFont="1" applyBorder="1"/>
    <xf numFmtId="0" fontId="6" fillId="0" borderId="13" xfId="0" applyFont="1" applyBorder="1" applyAlignment="1">
      <alignment horizontal="right"/>
    </xf>
    <xf numFmtId="3" fontId="0" fillId="0" borderId="12" xfId="0" applyNumberFormat="1" applyFont="1" applyBorder="1"/>
    <xf numFmtId="4" fontId="0" fillId="0" borderId="0" xfId="0" applyNumberFormat="1" applyFont="1" applyBorder="1"/>
    <xf numFmtId="3" fontId="0" fillId="0" borderId="0" xfId="0" applyNumberFormat="1" applyFont="1" applyBorder="1"/>
    <xf numFmtId="3" fontId="2" fillId="0" borderId="14" xfId="0" applyNumberFormat="1" applyFont="1" applyBorder="1"/>
    <xf numFmtId="4" fontId="2" fillId="0" borderId="15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0" fontId="0" fillId="0" borderId="12" xfId="0" applyFont="1" applyBorder="1"/>
    <xf numFmtId="0" fontId="0" fillId="0" borderId="13" xfId="0" applyFont="1" applyBorder="1"/>
    <xf numFmtId="4" fontId="0" fillId="0" borderId="13" xfId="0" applyNumberFormat="1" applyFont="1" applyBorder="1"/>
    <xf numFmtId="0" fontId="0" fillId="0" borderId="12" xfId="0" applyFont="1" applyFill="1" applyBorder="1"/>
    <xf numFmtId="0" fontId="0" fillId="0" borderId="13" xfId="0" applyFont="1" applyFill="1" applyBorder="1"/>
    <xf numFmtId="4" fontId="2" fillId="0" borderId="15" xfId="0" applyNumberFormat="1" applyFont="1" applyBorder="1" applyAlignment="1">
      <alignment wrapText="1"/>
    </xf>
    <xf numFmtId="3" fontId="2" fillId="0" borderId="14" xfId="0" applyNumberFormat="1" applyFont="1" applyFill="1" applyBorder="1" applyAlignment="1">
      <alignment wrapText="1"/>
    </xf>
    <xf numFmtId="4" fontId="2" fillId="0" borderId="15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3" fontId="2" fillId="0" borderId="13" xfId="0" applyNumberFormat="1" applyFont="1" applyFill="1" applyBorder="1" applyAlignment="1">
      <alignment wrapText="1"/>
    </xf>
    <xf numFmtId="4" fontId="2" fillId="0" borderId="13" xfId="0" applyNumberFormat="1" applyFont="1" applyFill="1" applyBorder="1" applyAlignment="1">
      <alignment wrapText="1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3" fontId="2" fillId="0" borderId="14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3" fontId="2" fillId="0" borderId="16" xfId="0" applyNumberFormat="1" applyFont="1" applyFill="1" applyBorder="1" applyAlignment="1">
      <alignment horizontal="center"/>
    </xf>
    <xf numFmtId="3" fontId="0" fillId="0" borderId="0" xfId="0" applyNumberFormat="1" applyFont="1" applyFill="1" applyBorder="1"/>
    <xf numFmtId="0" fontId="11" fillId="0" borderId="0" xfId="0" applyFont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/>
    </xf>
    <xf numFmtId="3" fontId="2" fillId="3" borderId="0" xfId="0" applyNumberFormat="1" applyFont="1" applyFill="1" applyBorder="1"/>
    <xf numFmtId="3" fontId="2" fillId="3" borderId="12" xfId="0" applyNumberFormat="1" applyFont="1" applyFill="1" applyBorder="1"/>
    <xf numFmtId="3" fontId="6" fillId="0" borderId="1" xfId="0" applyNumberFormat="1" applyFont="1" applyBorder="1" applyAlignment="1">
      <alignment wrapText="1"/>
    </xf>
    <xf numFmtId="3" fontId="4" fillId="0" borderId="0" xfId="0" applyNumberFormat="1" applyFont="1" applyBorder="1"/>
    <xf numFmtId="0" fontId="4" fillId="0" borderId="0" xfId="0" applyFont="1" applyBorder="1"/>
    <xf numFmtId="3" fontId="11" fillId="0" borderId="0" xfId="0" applyNumberFormat="1" applyFont="1" applyBorder="1"/>
    <xf numFmtId="3" fontId="15" fillId="0" borderId="0" xfId="0" applyNumberFormat="1" applyFont="1" applyBorder="1"/>
    <xf numFmtId="0" fontId="4" fillId="3" borderId="0" xfId="0" applyFont="1" applyFill="1"/>
    <xf numFmtId="0" fontId="6" fillId="3" borderId="16" xfId="0" applyFont="1" applyFill="1" applyBorder="1" applyAlignment="1">
      <alignment horizontal="center"/>
    </xf>
    <xf numFmtId="3" fontId="6" fillId="3" borderId="16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3" fontId="2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2" fontId="2" fillId="0" borderId="0" xfId="0" applyNumberFormat="1" applyFont="1"/>
    <xf numFmtId="2" fontId="2" fillId="3" borderId="0" xfId="0" applyNumberFormat="1" applyFont="1" applyFill="1"/>
    <xf numFmtId="2" fontId="0" fillId="0" borderId="0" xfId="0" applyNumberFormat="1" applyFont="1"/>
    <xf numFmtId="2" fontId="5" fillId="0" borderId="0" xfId="0" applyNumberFormat="1" applyFont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2" fillId="0" borderId="1" xfId="0" applyNumberFormat="1" applyFont="1" applyBorder="1"/>
    <xf numFmtId="2" fontId="0" fillId="0" borderId="0" xfId="0" applyNumberFormat="1" applyFont="1" applyBorder="1"/>
    <xf numFmtId="2" fontId="0" fillId="0" borderId="0" xfId="0" applyNumberFormat="1" applyFont="1" applyFill="1" applyBorder="1"/>
    <xf numFmtId="2" fontId="2" fillId="0" borderId="1" xfId="0" applyNumberFormat="1" applyFont="1" applyFill="1" applyBorder="1" applyAlignment="1">
      <alignment wrapText="1"/>
    </xf>
    <xf numFmtId="3" fontId="2" fillId="3" borderId="0" xfId="0" applyNumberFormat="1" applyFont="1" applyFill="1" applyBorder="1" applyAlignment="1"/>
    <xf numFmtId="166" fontId="2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7" fontId="2" fillId="0" borderId="0" xfId="0" applyNumberFormat="1" applyFont="1"/>
    <xf numFmtId="167" fontId="2" fillId="0" borderId="1" xfId="0" applyNumberFormat="1" applyFont="1" applyBorder="1"/>
    <xf numFmtId="167" fontId="0" fillId="0" borderId="0" xfId="0" applyNumberFormat="1" applyFont="1"/>
    <xf numFmtId="167" fontId="0" fillId="0" borderId="0" xfId="0" applyNumberFormat="1" applyFont="1" applyFill="1"/>
    <xf numFmtId="166" fontId="0" fillId="0" borderId="0" xfId="0" applyNumberFormat="1" applyFont="1"/>
    <xf numFmtId="166" fontId="2" fillId="0" borderId="0" xfId="0" applyNumberFormat="1" applyFont="1"/>
    <xf numFmtId="166" fontId="0" fillId="0" borderId="0" xfId="0" applyNumberFormat="1" applyFont="1" applyFill="1"/>
    <xf numFmtId="166" fontId="0" fillId="0" borderId="0" xfId="0" applyNumberFormat="1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0" fontId="0" fillId="0" borderId="0" xfId="0" applyFont="1"/>
    <xf numFmtId="3" fontId="2" fillId="0" borderId="1" xfId="0" applyNumberFormat="1" applyFont="1" applyBorder="1"/>
    <xf numFmtId="3" fontId="2" fillId="3" borderId="0" xfId="0" applyNumberFormat="1" applyFont="1" applyFill="1"/>
    <xf numFmtId="3" fontId="4" fillId="0" borderId="0" xfId="0" applyNumberFormat="1" applyFont="1"/>
    <xf numFmtId="168" fontId="0" fillId="0" borderId="15" xfId="0" applyNumberFormat="1" applyFont="1" applyBorder="1"/>
    <xf numFmtId="168" fontId="0" fillId="0" borderId="13" xfId="0" applyNumberFormat="1" applyFont="1" applyBorder="1"/>
    <xf numFmtId="4" fontId="0" fillId="0" borderId="15" xfId="0" applyNumberFormat="1" applyFont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/>
    <xf numFmtId="3" fontId="2" fillId="0" borderId="12" xfId="46" applyNumberFormat="1" applyFont="1" applyFill="1" applyBorder="1"/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3" fontId="0" fillId="0" borderId="1" xfId="0" applyNumberFormat="1" applyFont="1" applyBorder="1"/>
    <xf numFmtId="3" fontId="0" fillId="0" borderId="12" xfId="0" applyNumberFormat="1" applyFill="1" applyBorder="1" applyAlignment="1"/>
    <xf numFmtId="3" fontId="2" fillId="0" borderId="14" xfId="46" applyNumberFormat="1" applyFont="1" applyFill="1" applyBorder="1"/>
    <xf numFmtId="3" fontId="2" fillId="3" borderId="12" xfId="46" applyNumberFormat="1" applyFont="1" applyFill="1" applyBorder="1"/>
    <xf numFmtId="3" fontId="0" fillId="0" borderId="0" xfId="0" applyNumberFormat="1" applyFill="1" applyBorder="1" applyAlignment="1"/>
    <xf numFmtId="3" fontId="2" fillId="0" borderId="0" xfId="46" applyNumberFormat="1" applyFont="1" applyFill="1" applyBorder="1"/>
    <xf numFmtId="3" fontId="2" fillId="0" borderId="12" xfId="0" applyNumberFormat="1" applyFont="1" applyFill="1" applyBorder="1"/>
    <xf numFmtId="0" fontId="2" fillId="0" borderId="0" xfId="0" applyFont="1"/>
    <xf numFmtId="4" fontId="2" fillId="0" borderId="1" xfId="0" applyNumberFormat="1" applyFont="1" applyBorder="1"/>
    <xf numFmtId="0" fontId="0" fillId="0" borderId="10" xfId="0" applyFont="1" applyFill="1" applyBorder="1"/>
    <xf numFmtId="4" fontId="2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49" fontId="5" fillId="0" borderId="7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/>
    <xf numFmtId="3" fontId="4" fillId="3" borderId="16" xfId="0" applyNumberFormat="1" applyFont="1" applyFill="1" applyBorder="1" applyAlignment="1">
      <alignment horizontal="center"/>
    </xf>
    <xf numFmtId="169" fontId="2" fillId="0" borderId="0" xfId="0" applyNumberFormat="1" applyFont="1"/>
    <xf numFmtId="3" fontId="2" fillId="0" borderId="12" xfId="0" applyNumberFormat="1" applyFont="1" applyBorder="1"/>
    <xf numFmtId="2" fontId="2" fillId="0" borderId="0" xfId="0" applyNumberFormat="1" applyFont="1" applyBorder="1"/>
    <xf numFmtId="166" fontId="2" fillId="0" borderId="0" xfId="0" applyNumberFormat="1" applyFont="1" applyBorder="1"/>
    <xf numFmtId="167" fontId="2" fillId="0" borderId="0" xfId="0" applyNumberFormat="1" applyFont="1" applyBorder="1"/>
    <xf numFmtId="2" fontId="2" fillId="0" borderId="15" xfId="0" applyNumberFormat="1" applyFont="1" applyBorder="1"/>
    <xf numFmtId="166" fontId="2" fillId="0" borderId="0" xfId="0" applyNumberFormat="1" applyFont="1" applyBorder="1" applyAlignment="1">
      <alignment wrapText="1"/>
    </xf>
    <xf numFmtId="166" fontId="2" fillId="0" borderId="0" xfId="0" applyNumberFormat="1" applyFont="1" applyFill="1" applyBorder="1" applyAlignment="1">
      <alignment wrapText="1"/>
    </xf>
    <xf numFmtId="3" fontId="4" fillId="0" borderId="16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6" fillId="0" borderId="17" xfId="0" applyFont="1" applyFill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0" fontId="4" fillId="3" borderId="0" xfId="0" applyNumberFormat="1" applyFont="1" applyFill="1" applyBorder="1" applyAlignment="1">
      <alignment horizontal="center"/>
    </xf>
    <xf numFmtId="170" fontId="2" fillId="0" borderId="0" xfId="0" applyNumberFormat="1" applyFont="1"/>
    <xf numFmtId="3" fontId="5" fillId="3" borderId="0" xfId="0" applyNumberFormat="1" applyFont="1" applyFill="1" applyBorder="1"/>
    <xf numFmtId="3" fontId="5" fillId="3" borderId="0" xfId="0" applyNumberFormat="1" applyFont="1" applyFill="1" applyBorder="1" applyAlignment="1"/>
    <xf numFmtId="2" fontId="2" fillId="0" borderId="13" xfId="0" applyNumberFormat="1" applyFont="1" applyBorder="1"/>
    <xf numFmtId="49" fontId="1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0" xfId="0" applyFont="1" applyFill="1" applyBorder="1"/>
    <xf numFmtId="3" fontId="2" fillId="0" borderId="0" xfId="0" applyNumberFormat="1" applyFont="1" applyBorder="1" applyAlignment="1">
      <alignment wrapText="1"/>
    </xf>
    <xf numFmtId="3" fontId="2" fillId="0" borderId="0" xfId="0" applyNumberFormat="1" applyFont="1" applyFill="1" applyBorder="1" applyAlignment="1">
      <alignment horizontal="right"/>
    </xf>
    <xf numFmtId="49" fontId="14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/>
    <xf numFmtId="9" fontId="0" fillId="0" borderId="0" xfId="1" applyFont="1" applyFill="1" applyBorder="1"/>
    <xf numFmtId="3" fontId="2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/>
    <xf numFmtId="3" fontId="2" fillId="3" borderId="1" xfId="0" applyNumberFormat="1" applyFont="1" applyFill="1" applyBorder="1"/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173" fontId="17" fillId="0" borderId="0" xfId="47" applyNumberFormat="1" applyFont="1" applyFill="1" applyBorder="1" applyAlignment="1">
      <alignment wrapText="1"/>
    </xf>
    <xf numFmtId="3" fontId="6" fillId="3" borderId="0" xfId="0" applyNumberFormat="1" applyFont="1" applyFill="1" applyBorder="1"/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/>
    <xf numFmtId="3" fontId="2" fillId="0" borderId="1" xfId="46" applyNumberFormat="1" applyFont="1" applyFill="1" applyBorder="1"/>
    <xf numFmtId="49" fontId="4" fillId="0" borderId="0" xfId="0" applyNumberFormat="1" applyFont="1" applyFill="1" applyBorder="1" applyAlignment="1"/>
    <xf numFmtId="2" fontId="2" fillId="0" borderId="0" xfId="0" applyNumberFormat="1" applyFont="1" applyBorder="1" applyAlignment="1">
      <alignment horizontal="right"/>
    </xf>
    <xf numFmtId="166" fontId="2" fillId="0" borderId="0" xfId="0" applyNumberFormat="1" applyFont="1" applyFill="1" applyBorder="1"/>
    <xf numFmtId="167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wrapText="1"/>
    </xf>
    <xf numFmtId="167" fontId="0" fillId="0" borderId="0" xfId="0" applyNumberFormat="1" applyFont="1" applyFill="1" applyBorder="1"/>
    <xf numFmtId="2" fontId="2" fillId="0" borderId="0" xfId="0" applyNumberFormat="1" applyFont="1" applyFill="1" applyBorder="1"/>
    <xf numFmtId="174" fontId="2" fillId="0" borderId="0" xfId="0" applyNumberFormat="1" applyFont="1"/>
    <xf numFmtId="172" fontId="2" fillId="0" borderId="0" xfId="0" applyNumberFormat="1" applyFont="1" applyAlignment="1">
      <alignment horizontal="center"/>
    </xf>
    <xf numFmtId="3" fontId="2" fillId="0" borderId="12" xfId="0" applyNumberFormat="1" applyFont="1" applyBorder="1" applyAlignment="1">
      <alignment wrapText="1"/>
    </xf>
    <xf numFmtId="3" fontId="6" fillId="0" borderId="0" xfId="0" applyNumberFormat="1" applyFont="1" applyBorder="1" applyAlignment="1">
      <alignment wrapText="1"/>
    </xf>
    <xf numFmtId="4" fontId="2" fillId="0" borderId="13" xfId="0" applyNumberFormat="1" applyFont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175" fontId="2" fillId="0" borderId="1" xfId="0" applyNumberFormat="1" applyFont="1" applyBorder="1"/>
    <xf numFmtId="176" fontId="2" fillId="0" borderId="0" xfId="0" applyNumberFormat="1" applyFont="1"/>
    <xf numFmtId="171" fontId="2" fillId="0" borderId="0" xfId="0" applyNumberFormat="1" applyFont="1" applyAlignment="1">
      <alignment horizontal="center"/>
    </xf>
    <xf numFmtId="3" fontId="11" fillId="3" borderId="16" xfId="0" applyNumberFormat="1" applyFont="1" applyFill="1" applyBorder="1"/>
    <xf numFmtId="4" fontId="2" fillId="0" borderId="1" xfId="0" applyNumberFormat="1" applyFont="1" applyFill="1" applyBorder="1"/>
    <xf numFmtId="15" fontId="2" fillId="3" borderId="0" xfId="0" applyNumberFormat="1" applyFont="1" applyFill="1"/>
    <xf numFmtId="3" fontId="2" fillId="0" borderId="14" xfId="0" applyNumberFormat="1" applyFont="1" applyFill="1" applyBorder="1"/>
    <xf numFmtId="168" fontId="2" fillId="0" borderId="1" xfId="0" applyNumberFormat="1" applyFont="1" applyBorder="1"/>
    <xf numFmtId="9" fontId="0" fillId="0" borderId="0" xfId="1" applyFont="1"/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</cellXfs>
  <cellStyles count="49">
    <cellStyle name="Comma" xfId="47" builtinId="3"/>
    <cellStyle name="Comma 2" xfId="46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Normal" xfId="0" builtinId="0"/>
    <cellStyle name="Normal 5" xfId="48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0"/>
  <sheetViews>
    <sheetView tabSelected="1" zoomScale="60" zoomScaleNormal="60" workbookViewId="0">
      <selection activeCell="AF20" sqref="AF20"/>
    </sheetView>
  </sheetViews>
  <sheetFormatPr defaultColWidth="9.140625" defaultRowHeight="15.95" customHeight="1" x14ac:dyDescent="0.25"/>
  <cols>
    <col min="1" max="1" width="7.5703125" style="20" customWidth="1"/>
    <col min="2" max="2" width="68" style="21" bestFit="1" customWidth="1"/>
    <col min="3" max="3" width="0.85546875" style="3" customWidth="1"/>
    <col min="4" max="4" width="15.7109375" style="20" customWidth="1"/>
    <col min="5" max="5" width="0.85546875" style="20" customWidth="1"/>
    <col min="6" max="6" width="10.7109375" style="135" customWidth="1"/>
    <col min="7" max="7" width="0.85546875" style="135" customWidth="1"/>
    <col min="8" max="8" width="15.7109375" style="20" customWidth="1"/>
    <col min="9" max="9" width="0.85546875" style="20" customWidth="1"/>
    <col min="10" max="10" width="15.7109375" style="20" customWidth="1"/>
    <col min="11" max="11" width="0.85546875" style="20" customWidth="1"/>
    <col min="12" max="12" width="7.7109375" style="20" customWidth="1"/>
    <col min="13" max="13" width="0.85546875" style="3" customWidth="1"/>
    <col min="14" max="14" width="15.7109375" style="22" customWidth="1"/>
    <col min="15" max="15" width="0.85546875" style="22" customWidth="1"/>
    <col min="16" max="16" width="10.7109375" style="22" customWidth="1"/>
    <col min="17" max="17" width="0.85546875" style="22" customWidth="1"/>
    <col min="18" max="18" width="15.7109375" style="22" customWidth="1"/>
    <col min="19" max="19" width="0.85546875" style="22" customWidth="1"/>
    <col min="20" max="20" width="15.7109375" style="113" customWidth="1"/>
    <col min="21" max="21" width="0.85546875" style="20" customWidth="1"/>
    <col min="22" max="22" width="15.7109375" style="135" customWidth="1"/>
    <col min="23" max="23" width="0.85546875" style="3" customWidth="1"/>
    <col min="24" max="24" width="15.7109375" style="20" customWidth="1"/>
    <col min="25" max="25" width="0.85546875" style="20" customWidth="1"/>
    <col min="26" max="26" width="5.7109375" customWidth="1"/>
    <col min="27" max="27" width="0.85546875" style="3" customWidth="1"/>
    <col min="28" max="28" width="15.7109375" style="20" customWidth="1"/>
    <col min="29" max="29" width="0.85546875" style="25" customWidth="1"/>
    <col min="30" max="30" width="10.7109375" style="25" customWidth="1"/>
    <col min="31" max="31" width="0.85546875" style="20" customWidth="1"/>
    <col min="32" max="32" width="15.7109375" style="20" customWidth="1"/>
    <col min="33" max="33" width="0.85546875" style="20" customWidth="1"/>
    <col min="34" max="34" width="15.7109375" style="20" customWidth="1"/>
    <col min="35" max="35" width="0.85546875" style="20" customWidth="1"/>
    <col min="36" max="36" width="7.7109375" style="20" customWidth="1"/>
    <col min="37" max="37" width="0.85546875" style="20" customWidth="1"/>
    <col min="38" max="38" width="15.7109375" style="3" customWidth="1"/>
    <col min="39" max="39" width="0.85546875" style="135" customWidth="1"/>
    <col min="40" max="40" width="10.7109375" style="135" customWidth="1"/>
    <col min="41" max="41" width="0.85546875" style="135" customWidth="1"/>
    <col min="42" max="42" width="15.7109375" style="3" customWidth="1"/>
    <col min="43" max="43" width="0.85546875" style="3" customWidth="1"/>
    <col min="44" max="44" width="15.7109375" style="3" customWidth="1"/>
    <col min="45" max="45" width="0.85546875" style="20" customWidth="1"/>
    <col min="46" max="46" width="15.7109375" style="135" customWidth="1"/>
    <col min="47" max="47" width="0.85546875" style="20" customWidth="1"/>
    <col min="48" max="48" width="15.7109375" style="20" customWidth="1"/>
    <col min="49" max="49" width="0.85546875" style="20" customWidth="1"/>
    <col min="50" max="50" width="5.7109375" style="20" customWidth="1"/>
    <col min="51" max="51" width="0.85546875" style="3" customWidth="1"/>
    <col min="52" max="52" width="15.7109375" style="20" customWidth="1"/>
    <col min="53" max="53" width="0.85546875" style="20" customWidth="1"/>
    <col min="54" max="54" width="15.7109375" style="20" customWidth="1"/>
    <col min="55" max="55" width="0.85546875" style="20" customWidth="1"/>
    <col min="56" max="56" width="15.7109375" style="20" customWidth="1"/>
    <col min="57" max="57" width="0.85546875" style="20" customWidth="1"/>
    <col min="58" max="58" width="7.7109375" style="20" customWidth="1"/>
    <col min="59" max="59" width="0.85546875" style="20" customWidth="1"/>
    <col min="60" max="60" width="15.7109375" style="20" customWidth="1"/>
    <col min="61" max="61" width="0.85546875" style="20" customWidth="1"/>
    <col min="62" max="62" width="15.7109375" style="20" customWidth="1"/>
    <col min="63" max="63" width="0.85546875" style="20" customWidth="1"/>
    <col min="64" max="64" width="16.85546875" style="20" bestFit="1" customWidth="1"/>
    <col min="65" max="65" width="0.85546875" style="20" customWidth="1"/>
    <col min="66" max="66" width="15.7109375" style="135" customWidth="1"/>
    <col min="67" max="67" width="0.85546875" style="135" customWidth="1"/>
    <col min="68" max="68" width="15.7109375" style="20" customWidth="1"/>
    <col min="69" max="69" width="0.85546875" style="20" customWidth="1"/>
    <col min="70" max="16384" width="9.140625" style="3"/>
  </cols>
  <sheetData>
    <row r="1" spans="1:69" s="2" customFormat="1" ht="15.95" customHeight="1" x14ac:dyDescent="0.25">
      <c r="A1" s="19"/>
      <c r="D1" s="19"/>
      <c r="E1" s="19"/>
      <c r="F1" s="156"/>
      <c r="G1" s="156"/>
      <c r="H1" s="19"/>
      <c r="I1" s="19"/>
      <c r="J1" s="19"/>
      <c r="K1" s="19"/>
      <c r="L1" s="19"/>
      <c r="N1" s="107"/>
      <c r="O1" s="107"/>
      <c r="P1" s="107"/>
      <c r="Q1" s="107"/>
      <c r="R1" s="107"/>
      <c r="S1" s="107"/>
      <c r="T1" s="111"/>
      <c r="U1" s="19"/>
      <c r="V1" s="166"/>
      <c r="X1" s="19"/>
      <c r="Y1" s="19"/>
      <c r="AB1" s="19"/>
      <c r="AC1" s="51"/>
      <c r="AD1" s="51"/>
      <c r="AE1" s="19"/>
      <c r="AF1" s="19"/>
      <c r="AG1" s="19"/>
      <c r="AH1" s="19"/>
      <c r="AI1" s="19"/>
      <c r="AJ1" s="19"/>
      <c r="AK1" s="19"/>
      <c r="AM1" s="166"/>
      <c r="AN1" s="166"/>
      <c r="AO1" s="166"/>
      <c r="AS1" s="19"/>
      <c r="AT1" s="166"/>
      <c r="AU1" s="19"/>
      <c r="AV1" s="19"/>
      <c r="AW1" s="19"/>
      <c r="AX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66"/>
      <c r="BO1" s="166"/>
      <c r="BP1" s="19"/>
      <c r="BQ1" s="19"/>
    </row>
    <row r="2" spans="1:69" s="2" customFormat="1" ht="15.95" customHeight="1" x14ac:dyDescent="0.25">
      <c r="A2" s="19"/>
      <c r="B2" s="6"/>
      <c r="D2" s="103" t="s">
        <v>36</v>
      </c>
      <c r="E2" s="11"/>
      <c r="F2" s="11"/>
      <c r="G2" s="11"/>
      <c r="H2" s="11"/>
      <c r="I2" s="11"/>
      <c r="J2" s="11"/>
      <c r="K2" s="11"/>
      <c r="L2" s="11"/>
      <c r="M2" s="11"/>
      <c r="N2" s="137"/>
      <c r="O2" s="137"/>
      <c r="P2" s="137"/>
      <c r="Q2" s="137"/>
      <c r="R2" s="137"/>
      <c r="S2" s="137"/>
      <c r="T2" s="112"/>
      <c r="U2" s="11"/>
      <c r="V2" s="11"/>
      <c r="W2" s="11"/>
      <c r="X2" s="11"/>
      <c r="Y2" s="51"/>
      <c r="AB2" s="103" t="s">
        <v>37</v>
      </c>
      <c r="AC2" s="103"/>
      <c r="AD2" s="103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51"/>
      <c r="AX2" s="51"/>
      <c r="AY2" s="51"/>
      <c r="AZ2" s="103" t="s">
        <v>38</v>
      </c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51"/>
      <c r="BQ2" s="51"/>
    </row>
    <row r="3" spans="1:69" s="2" customFormat="1" ht="15.95" customHeight="1" thickBot="1" x14ac:dyDescent="0.3">
      <c r="A3" s="19"/>
      <c r="B3" s="55" t="s">
        <v>40</v>
      </c>
      <c r="F3" s="156"/>
      <c r="G3" s="156"/>
      <c r="I3" s="19"/>
      <c r="J3" s="19"/>
      <c r="K3" s="19"/>
      <c r="L3" s="19"/>
      <c r="N3" s="107"/>
      <c r="O3" s="107"/>
      <c r="P3" s="107"/>
      <c r="Q3" s="107"/>
      <c r="R3" s="107"/>
      <c r="S3" s="107"/>
      <c r="T3" s="111"/>
      <c r="U3" s="19"/>
      <c r="V3" s="166"/>
      <c r="X3" s="19"/>
      <c r="Y3" s="19"/>
      <c r="AC3" s="51"/>
      <c r="AD3" s="51"/>
      <c r="AH3" s="19"/>
      <c r="AI3" s="19"/>
      <c r="AJ3" s="19"/>
      <c r="AK3" s="19"/>
      <c r="AM3" s="166"/>
      <c r="AN3" s="166"/>
      <c r="AO3" s="166"/>
      <c r="AS3" s="19"/>
      <c r="AT3" s="166"/>
      <c r="AU3" s="19"/>
      <c r="AV3" s="19"/>
      <c r="AW3" s="19"/>
      <c r="AX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66"/>
      <c r="BO3" s="166"/>
      <c r="BP3" s="19"/>
      <c r="BQ3" s="19"/>
    </row>
    <row r="4" spans="1:69" s="2" customFormat="1" ht="15.95" customHeight="1" thickBot="1" x14ac:dyDescent="0.3">
      <c r="A4" s="19"/>
      <c r="B4" s="6"/>
      <c r="D4" s="147" t="s">
        <v>76</v>
      </c>
      <c r="F4" s="156"/>
      <c r="G4" s="156"/>
      <c r="I4" s="29"/>
      <c r="K4" s="19"/>
      <c r="L4" s="19"/>
      <c r="N4" s="166"/>
      <c r="O4" s="166"/>
      <c r="P4" s="177" t="s">
        <v>85</v>
      </c>
      <c r="Q4" s="166"/>
      <c r="R4" s="167">
        <v>80000</v>
      </c>
      <c r="S4" s="166"/>
      <c r="T4" s="111"/>
      <c r="U4" s="19"/>
      <c r="V4" s="166"/>
      <c r="X4" s="19"/>
      <c r="Y4" s="19"/>
      <c r="AB4" s="147" t="s">
        <v>76</v>
      </c>
      <c r="AC4" s="164"/>
      <c r="AD4" s="164"/>
      <c r="AE4" s="13"/>
      <c r="AF4" s="29"/>
      <c r="AG4" s="13"/>
      <c r="AH4" s="19"/>
      <c r="AI4" s="19"/>
      <c r="AJ4" s="19"/>
      <c r="AK4" s="19"/>
      <c r="AM4" s="177"/>
      <c r="AN4" s="177" t="s">
        <v>85</v>
      </c>
      <c r="AO4" s="177"/>
      <c r="AP4" s="176">
        <f>AF10</f>
        <v>155000</v>
      </c>
      <c r="AQ4" s="13"/>
      <c r="AR4" s="13"/>
      <c r="AS4" s="19"/>
      <c r="AT4" s="166"/>
      <c r="AU4" s="19"/>
      <c r="AV4" s="19"/>
      <c r="AW4" s="19"/>
      <c r="AX4" s="19"/>
      <c r="AY4" s="13"/>
      <c r="AZ4" s="147"/>
      <c r="BA4" s="19"/>
      <c r="BB4" s="29"/>
      <c r="BC4" s="29"/>
      <c r="BD4" s="19"/>
      <c r="BE4" s="19"/>
      <c r="BF4" s="19"/>
      <c r="BG4" s="19"/>
      <c r="BH4" s="19"/>
      <c r="BI4" s="19"/>
      <c r="BJ4" s="179">
        <f>AP4+R4</f>
        <v>235000</v>
      </c>
      <c r="BK4" s="19"/>
      <c r="BL4" s="19"/>
      <c r="BM4" s="19"/>
      <c r="BN4" s="166"/>
      <c r="BO4" s="166"/>
      <c r="BP4" s="19"/>
      <c r="BQ4" s="19"/>
    </row>
    <row r="5" spans="1:69" s="2" customFormat="1" ht="15.95" customHeight="1" thickBot="1" x14ac:dyDescent="0.3">
      <c r="A5" s="19"/>
      <c r="B5" s="55" t="s">
        <v>36</v>
      </c>
      <c r="D5" s="2" t="s">
        <v>71</v>
      </c>
      <c r="F5" s="156"/>
      <c r="G5" s="156"/>
      <c r="H5" s="104">
        <v>300</v>
      </c>
      <c r="I5" s="34"/>
      <c r="K5" s="34"/>
      <c r="L5" s="34"/>
      <c r="N5" s="166"/>
      <c r="O5" s="166"/>
      <c r="P5" s="177" t="s">
        <v>105</v>
      </c>
      <c r="Q5" s="166"/>
      <c r="R5" s="176">
        <f>R10-R4</f>
        <v>74230</v>
      </c>
      <c r="S5" s="166"/>
      <c r="T5" s="111"/>
      <c r="U5" s="19"/>
      <c r="V5" s="166"/>
      <c r="X5" s="19"/>
      <c r="Y5" s="19"/>
      <c r="AB5" s="165" t="s">
        <v>71</v>
      </c>
      <c r="AC5" s="51"/>
      <c r="AD5" s="51"/>
      <c r="AE5" s="13"/>
      <c r="AF5" s="104">
        <v>300</v>
      </c>
      <c r="AG5" s="13"/>
      <c r="AH5" s="34"/>
      <c r="AI5" s="34"/>
      <c r="AJ5" s="34"/>
      <c r="AK5" s="19"/>
      <c r="AM5" s="177"/>
      <c r="AN5" s="177" t="s">
        <v>105</v>
      </c>
      <c r="AO5" s="177"/>
      <c r="AP5" s="176">
        <f>AP10-AP4</f>
        <v>85000</v>
      </c>
      <c r="AQ5" s="13"/>
      <c r="AR5" s="13"/>
      <c r="AS5" s="19"/>
      <c r="AT5" s="166"/>
      <c r="AU5" s="19"/>
      <c r="AV5" s="19"/>
      <c r="AW5" s="19"/>
      <c r="AX5" s="19"/>
      <c r="AY5" s="13"/>
      <c r="AZ5" s="19"/>
      <c r="BA5" s="19"/>
      <c r="BB5" s="148"/>
      <c r="BC5" s="34"/>
      <c r="BD5" s="34"/>
      <c r="BE5" s="34"/>
      <c r="BF5" s="34"/>
      <c r="BG5" s="19"/>
      <c r="BH5" s="19"/>
      <c r="BI5" s="19"/>
      <c r="BJ5" s="179">
        <f>AP5+R5</f>
        <v>159230</v>
      </c>
      <c r="BK5" s="19"/>
      <c r="BM5" s="19"/>
      <c r="BN5" s="166"/>
      <c r="BO5" s="166"/>
      <c r="BP5" s="19"/>
      <c r="BQ5" s="19"/>
    </row>
    <row r="6" spans="1:69" s="156" customFormat="1" ht="15.95" customHeight="1" thickBot="1" x14ac:dyDescent="0.3">
      <c r="B6" s="47" t="s">
        <v>37</v>
      </c>
      <c r="D6" s="156" t="s">
        <v>72</v>
      </c>
      <c r="H6" s="104">
        <v>340</v>
      </c>
      <c r="I6" s="34"/>
      <c r="K6" s="34"/>
      <c r="L6" s="34"/>
      <c r="N6" s="107"/>
      <c r="O6" s="107"/>
      <c r="P6" s="206" t="s">
        <v>86</v>
      </c>
      <c r="Q6" s="107"/>
      <c r="R6" s="181">
        <v>3.06</v>
      </c>
      <c r="S6" s="107"/>
      <c r="T6" s="111"/>
      <c r="V6" s="166"/>
      <c r="AB6" s="165" t="s">
        <v>72</v>
      </c>
      <c r="AC6" s="51"/>
      <c r="AD6" s="51"/>
      <c r="AF6" s="104">
        <v>340</v>
      </c>
      <c r="AH6" s="34"/>
      <c r="AI6" s="34"/>
      <c r="AJ6" s="34"/>
      <c r="AM6" s="107"/>
      <c r="AN6" s="206" t="s">
        <v>86</v>
      </c>
      <c r="AO6" s="166"/>
      <c r="AP6" s="181">
        <v>3.02</v>
      </c>
      <c r="AT6" s="166"/>
      <c r="BB6" s="148"/>
      <c r="BC6" s="34"/>
      <c r="BD6" s="34"/>
      <c r="BE6" s="34"/>
      <c r="BF6" s="34"/>
      <c r="BH6" s="30" t="s">
        <v>88</v>
      </c>
      <c r="BJ6" s="221">
        <f>BJ7/BJ5</f>
        <v>3.0386472398417386</v>
      </c>
      <c r="BN6" s="166"/>
      <c r="BO6" s="166"/>
    </row>
    <row r="7" spans="1:69" s="156" customFormat="1" ht="15.95" customHeight="1" thickBot="1" x14ac:dyDescent="0.3">
      <c r="B7" s="56">
        <v>41306</v>
      </c>
      <c r="D7" s="156" t="s">
        <v>73</v>
      </c>
      <c r="H7" s="104">
        <v>340</v>
      </c>
      <c r="I7" s="34"/>
      <c r="K7" s="34"/>
      <c r="L7" s="34"/>
      <c r="N7" s="107"/>
      <c r="O7" s="107"/>
      <c r="P7" s="177" t="s">
        <v>104</v>
      </c>
      <c r="Q7" s="107"/>
      <c r="R7" s="182">
        <f>R5*R6</f>
        <v>227143.80000000002</v>
      </c>
      <c r="S7" s="107"/>
      <c r="T7" s="111"/>
      <c r="V7" s="166"/>
      <c r="AB7" s="165" t="s">
        <v>73</v>
      </c>
      <c r="AC7" s="51"/>
      <c r="AD7" s="51"/>
      <c r="AF7" s="104">
        <v>340</v>
      </c>
      <c r="AH7" s="34"/>
      <c r="AI7" s="34"/>
      <c r="AJ7" s="34"/>
      <c r="AM7" s="166"/>
      <c r="AN7" s="177" t="s">
        <v>104</v>
      </c>
      <c r="AO7" s="166"/>
      <c r="AP7" s="213">
        <f>AP5*AP6</f>
        <v>256700</v>
      </c>
      <c r="AT7" s="166"/>
      <c r="BB7" s="148"/>
      <c r="BC7" s="34"/>
      <c r="BD7" s="34"/>
      <c r="BE7" s="34"/>
      <c r="BF7" s="34"/>
      <c r="BH7" s="30" t="s">
        <v>89</v>
      </c>
      <c r="BJ7" s="212">
        <f>AP7+R7</f>
        <v>483843.80000000005</v>
      </c>
      <c r="BN7" s="166"/>
      <c r="BO7" s="166"/>
    </row>
    <row r="8" spans="1:69" ht="15.95" customHeight="1" thickBot="1" x14ac:dyDescent="0.3">
      <c r="B8" s="3"/>
      <c r="D8" s="147" t="s">
        <v>84</v>
      </c>
      <c r="E8" s="25"/>
      <c r="F8" s="25"/>
      <c r="G8" s="166"/>
      <c r="H8" s="104">
        <v>407</v>
      </c>
      <c r="I8" s="25"/>
      <c r="J8" s="25"/>
      <c r="K8" s="25"/>
      <c r="L8" s="25"/>
      <c r="T8" s="117"/>
      <c r="Z8" s="3"/>
      <c r="AB8" s="147" t="s">
        <v>84</v>
      </c>
      <c r="AE8" s="13"/>
      <c r="AF8" s="104">
        <v>407</v>
      </c>
      <c r="AG8" s="14"/>
      <c r="AH8" s="25"/>
      <c r="AI8" s="25"/>
      <c r="AJ8" s="25"/>
      <c r="AL8" s="14"/>
      <c r="AP8" s="14"/>
      <c r="AQ8" s="14"/>
      <c r="AR8" s="14"/>
      <c r="AY8" s="14"/>
      <c r="BC8" s="25"/>
      <c r="BD8" s="25"/>
      <c r="BE8" s="25"/>
      <c r="BF8" s="25"/>
    </row>
    <row r="9" spans="1:69" s="135" customFormat="1" ht="15.95" customHeight="1" thickBot="1" x14ac:dyDescent="0.3">
      <c r="I9" s="25"/>
      <c r="J9" s="25"/>
      <c r="K9" s="25"/>
      <c r="L9" s="25"/>
      <c r="N9" s="22"/>
      <c r="O9" s="22"/>
      <c r="P9" s="22"/>
      <c r="Q9" s="22"/>
      <c r="R9" s="22"/>
      <c r="S9" s="22"/>
      <c r="AB9" s="147"/>
      <c r="AC9" s="25"/>
      <c r="AD9" s="25"/>
      <c r="AE9" s="166"/>
      <c r="AF9" s="178"/>
      <c r="AH9" s="25"/>
      <c r="AI9" s="25"/>
      <c r="AJ9" s="25"/>
      <c r="AR9" s="180"/>
      <c r="BC9" s="25"/>
      <c r="BD9" s="25"/>
      <c r="BE9" s="25"/>
      <c r="BF9" s="25"/>
    </row>
    <row r="10" spans="1:69" ht="15.75" customHeight="1" thickBot="1" x14ac:dyDescent="0.3">
      <c r="B10" s="3"/>
      <c r="D10" s="30" t="s">
        <v>42</v>
      </c>
      <c r="E10" s="3"/>
      <c r="H10" s="105">
        <v>149500</v>
      </c>
      <c r="I10" s="35"/>
      <c r="J10" s="35"/>
      <c r="K10" s="35"/>
      <c r="L10" s="35"/>
      <c r="R10" s="167">
        <v>154230</v>
      </c>
      <c r="Z10" s="3"/>
      <c r="AB10" s="30" t="s">
        <v>42</v>
      </c>
      <c r="AC10" s="163"/>
      <c r="AD10" s="163"/>
      <c r="AF10" s="95">
        <v>155000</v>
      </c>
      <c r="AG10" s="3"/>
      <c r="AH10" s="35"/>
      <c r="AI10" s="35"/>
      <c r="AJ10" s="35"/>
      <c r="AP10" s="167">
        <v>240000</v>
      </c>
      <c r="AY10" s="14"/>
      <c r="AZ10" s="30" t="s">
        <v>42</v>
      </c>
      <c r="BB10" s="92">
        <f>AF10+H10</f>
        <v>304500</v>
      </c>
      <c r="BC10" s="35"/>
      <c r="BD10" s="35"/>
      <c r="BE10" s="35"/>
      <c r="BF10" s="35"/>
      <c r="BJ10" s="176">
        <f>AP10+R10</f>
        <v>394230</v>
      </c>
    </row>
    <row r="11" spans="1:69" s="20" customFormat="1" ht="15.95" customHeight="1" x14ac:dyDescent="0.25">
      <c r="B11" s="56"/>
      <c r="D11" s="94"/>
      <c r="E11" s="94"/>
      <c r="F11" s="94"/>
      <c r="G11" s="94"/>
      <c r="H11" s="94"/>
      <c r="I11" s="94"/>
      <c r="J11" s="94"/>
      <c r="K11" s="35"/>
      <c r="L11" s="35"/>
      <c r="N11" s="135"/>
      <c r="O11" s="135"/>
      <c r="P11" s="29" t="s">
        <v>87</v>
      </c>
      <c r="Q11" s="135"/>
      <c r="R11" s="182">
        <f>R6*R10</f>
        <v>471943.8</v>
      </c>
      <c r="S11" s="135"/>
      <c r="U11" s="113"/>
      <c r="V11" s="135"/>
      <c r="W11" s="135"/>
      <c r="AC11" s="94"/>
      <c r="AD11" s="162"/>
      <c r="AE11" s="162"/>
      <c r="AF11" s="94"/>
      <c r="AG11" s="94"/>
      <c r="AH11" s="94"/>
      <c r="AI11" s="94"/>
      <c r="AJ11" s="35"/>
      <c r="AK11" s="35"/>
      <c r="AM11" s="135"/>
      <c r="AN11" s="30" t="s">
        <v>87</v>
      </c>
      <c r="AO11" s="135"/>
      <c r="AP11" s="213">
        <f>AP6*AP10</f>
        <v>724800</v>
      </c>
      <c r="AT11" s="135"/>
      <c r="AU11" s="135"/>
      <c r="BF11" s="35"/>
      <c r="BG11" s="35"/>
      <c r="BJ11" s="220">
        <f>AP11+R11</f>
        <v>1196743.8</v>
      </c>
      <c r="BO11" s="135"/>
      <c r="BP11" s="135"/>
    </row>
    <row r="12" spans="1:69" s="20" customFormat="1" ht="15.95" customHeight="1" x14ac:dyDescent="0.25">
      <c r="B12" s="56"/>
      <c r="D12" s="228" t="s">
        <v>53</v>
      </c>
      <c r="E12" s="229"/>
      <c r="F12" s="229"/>
      <c r="G12" s="229"/>
      <c r="H12" s="229"/>
      <c r="I12" s="229"/>
      <c r="J12" s="230"/>
      <c r="K12" s="35"/>
      <c r="L12" s="35"/>
      <c r="N12" s="22"/>
      <c r="O12" s="22"/>
      <c r="P12" s="22"/>
      <c r="Q12" s="22"/>
      <c r="R12" s="168">
        <f>(R10-H10)/H10</f>
        <v>3.1638795986622073E-2</v>
      </c>
      <c r="S12" s="22"/>
      <c r="T12" s="113"/>
      <c r="V12" s="135"/>
      <c r="AB12" s="228" t="s">
        <v>53</v>
      </c>
      <c r="AC12" s="229"/>
      <c r="AD12" s="229"/>
      <c r="AE12" s="229"/>
      <c r="AF12" s="229"/>
      <c r="AG12" s="229"/>
      <c r="AH12" s="230"/>
      <c r="AI12" s="35"/>
      <c r="AJ12" s="35"/>
      <c r="AM12" s="135"/>
      <c r="AN12" s="135"/>
      <c r="AO12" s="135"/>
      <c r="AP12" s="168">
        <f>(AP10-AF10)/AF10</f>
        <v>0.54838709677419351</v>
      </c>
      <c r="AT12" s="135"/>
      <c r="AZ12" s="228" t="s">
        <v>53</v>
      </c>
      <c r="BA12" s="229"/>
      <c r="BB12" s="229"/>
      <c r="BC12" s="229"/>
      <c r="BD12" s="230"/>
      <c r="BE12" s="35"/>
      <c r="BF12" s="35"/>
      <c r="BJ12" s="168">
        <f>(BJ10-BB10)/BB10</f>
        <v>0.29467980295566504</v>
      </c>
      <c r="BN12" s="135"/>
      <c r="BO12" s="135"/>
    </row>
    <row r="13" spans="1:69" s="20" customFormat="1" ht="15.95" customHeight="1" x14ac:dyDescent="0.25">
      <c r="B13" s="56"/>
      <c r="D13" s="231"/>
      <c r="E13" s="232"/>
      <c r="F13" s="232"/>
      <c r="G13" s="232"/>
      <c r="H13" s="232"/>
      <c r="I13" s="232"/>
      <c r="J13" s="233"/>
      <c r="K13" s="35"/>
      <c r="L13" s="35"/>
      <c r="N13" s="22"/>
      <c r="O13" s="22"/>
      <c r="P13" s="22"/>
      <c r="Q13" s="22"/>
      <c r="R13" s="22"/>
      <c r="S13" s="22"/>
      <c r="T13" s="113"/>
      <c r="V13" s="135"/>
      <c r="AB13" s="231"/>
      <c r="AC13" s="232"/>
      <c r="AD13" s="232"/>
      <c r="AE13" s="232"/>
      <c r="AF13" s="232"/>
      <c r="AG13" s="232"/>
      <c r="AH13" s="233"/>
      <c r="AI13" s="35"/>
      <c r="AJ13" s="35"/>
      <c r="AM13" s="135"/>
      <c r="AN13" s="135"/>
      <c r="AO13" s="135"/>
      <c r="AT13" s="135"/>
      <c r="AZ13" s="231"/>
      <c r="BA13" s="232"/>
      <c r="BB13" s="232"/>
      <c r="BC13" s="232"/>
      <c r="BD13" s="233"/>
      <c r="BE13" s="35"/>
      <c r="BF13" s="35"/>
      <c r="BN13" s="135"/>
      <c r="BO13" s="135"/>
    </row>
    <row r="14" spans="1:69" s="20" customFormat="1" ht="15.95" customHeight="1" x14ac:dyDescent="0.25">
      <c r="B14" s="18"/>
      <c r="D14" s="35"/>
      <c r="E14" s="35"/>
      <c r="F14" s="35"/>
      <c r="G14" s="35"/>
      <c r="H14" s="35"/>
      <c r="I14" s="35"/>
      <c r="J14" s="35"/>
      <c r="K14" s="35"/>
      <c r="L14" s="35"/>
      <c r="N14" s="205"/>
      <c r="O14" s="205"/>
      <c r="P14" s="205"/>
      <c r="Q14" s="205"/>
      <c r="R14" s="205"/>
      <c r="S14" s="205"/>
      <c r="T14" s="113"/>
      <c r="V14" s="135"/>
      <c r="AB14" s="35"/>
      <c r="AC14" s="35"/>
      <c r="AD14" s="35"/>
      <c r="AE14" s="35"/>
      <c r="AF14" s="35"/>
      <c r="AG14" s="35"/>
      <c r="AH14" s="35"/>
      <c r="AI14" s="35"/>
      <c r="AJ14" s="35"/>
      <c r="AM14" s="135"/>
      <c r="AN14" s="135"/>
      <c r="AO14" s="135"/>
      <c r="AT14" s="135"/>
      <c r="AZ14" s="35"/>
      <c r="BA14" s="35"/>
      <c r="BB14" s="35"/>
      <c r="BC14" s="35"/>
      <c r="BD14" s="35"/>
      <c r="BE14" s="35"/>
      <c r="BF14" s="35"/>
      <c r="BN14" s="135"/>
      <c r="BO14" s="135"/>
    </row>
    <row r="15" spans="1:69" s="20" customFormat="1" ht="15.95" customHeight="1" x14ac:dyDescent="0.25">
      <c r="B15" s="18"/>
      <c r="D15" s="59" t="s">
        <v>43</v>
      </c>
      <c r="E15" s="60"/>
      <c r="F15" s="60"/>
      <c r="G15" s="60"/>
      <c r="H15" s="61" t="s">
        <v>44</v>
      </c>
      <c r="I15" s="62"/>
      <c r="J15" s="63" t="s">
        <v>45</v>
      </c>
      <c r="K15" s="53"/>
      <c r="M15" s="54"/>
      <c r="N15" s="53" t="s">
        <v>46</v>
      </c>
      <c r="O15" s="108"/>
      <c r="P15" s="108"/>
      <c r="Q15" s="108"/>
      <c r="R15" s="53" t="s">
        <v>47</v>
      </c>
      <c r="S15" s="108"/>
      <c r="T15" s="53" t="s">
        <v>48</v>
      </c>
      <c r="U15" s="54"/>
      <c r="V15" s="114" t="s">
        <v>49</v>
      </c>
      <c r="X15" s="53" t="s">
        <v>50</v>
      </c>
      <c r="AB15" s="59" t="s">
        <v>43</v>
      </c>
      <c r="AC15" s="161"/>
      <c r="AD15" s="161"/>
      <c r="AE15" s="60"/>
      <c r="AF15" s="61" t="s">
        <v>44</v>
      </c>
      <c r="AG15" s="62"/>
      <c r="AH15" s="63" t="s">
        <v>45</v>
      </c>
      <c r="AI15" s="53"/>
      <c r="AK15" s="54"/>
      <c r="AL15" s="53" t="s">
        <v>46</v>
      </c>
      <c r="AM15" s="53"/>
      <c r="AN15" s="54"/>
      <c r="AO15" s="53"/>
      <c r="AP15" s="53" t="s">
        <v>47</v>
      </c>
      <c r="AQ15" s="54"/>
      <c r="AR15" s="53" t="s">
        <v>48</v>
      </c>
      <c r="AS15" s="54"/>
      <c r="AT15" s="53" t="s">
        <v>49</v>
      </c>
      <c r="AU15" s="53"/>
      <c r="AV15" s="53" t="s">
        <v>50</v>
      </c>
      <c r="AZ15" s="59" t="s">
        <v>43</v>
      </c>
      <c r="BA15" s="60"/>
      <c r="BB15" s="61" t="s">
        <v>44</v>
      </c>
      <c r="BC15" s="62"/>
      <c r="BD15" s="63" t="s">
        <v>45</v>
      </c>
      <c r="BE15" s="53"/>
      <c r="BG15" s="54"/>
      <c r="BH15" s="53" t="s">
        <v>46</v>
      </c>
      <c r="BI15" s="54"/>
      <c r="BJ15" s="53" t="s">
        <v>47</v>
      </c>
      <c r="BK15" s="54"/>
      <c r="BL15" s="53" t="s">
        <v>48</v>
      </c>
      <c r="BM15" s="54"/>
      <c r="BN15" s="53" t="s">
        <v>49</v>
      </c>
      <c r="BO15" s="53"/>
      <c r="BP15" s="53" t="s">
        <v>50</v>
      </c>
    </row>
    <row r="16" spans="1:69" s="20" customFormat="1" ht="15.95" customHeight="1" x14ac:dyDescent="0.25">
      <c r="B16" s="18"/>
      <c r="D16" s="64"/>
      <c r="E16" s="21"/>
      <c r="F16" s="21"/>
      <c r="G16" s="21"/>
      <c r="H16" s="8"/>
      <c r="I16" s="8"/>
      <c r="J16" s="65" t="s">
        <v>39</v>
      </c>
      <c r="K16" s="31"/>
      <c r="L16" s="31"/>
      <c r="N16" s="109"/>
      <c r="O16" s="109"/>
      <c r="P16" s="109"/>
      <c r="Q16" s="109"/>
      <c r="R16" s="110"/>
      <c r="S16" s="110"/>
      <c r="T16" s="115" t="s">
        <v>39</v>
      </c>
      <c r="V16" s="31" t="s">
        <v>21</v>
      </c>
      <c r="X16" s="31" t="s">
        <v>21</v>
      </c>
      <c r="AB16" s="64"/>
      <c r="AC16" s="160"/>
      <c r="AD16" s="160"/>
      <c r="AE16" s="21"/>
      <c r="AF16" s="8"/>
      <c r="AG16" s="8"/>
      <c r="AH16" s="65" t="s">
        <v>39</v>
      </c>
      <c r="AI16" s="31"/>
      <c r="AJ16" s="31"/>
      <c r="AL16" s="8"/>
      <c r="AM16" s="8"/>
      <c r="AN16" s="135"/>
      <c r="AO16" s="8"/>
      <c r="AP16" s="8"/>
      <c r="AR16" s="115" t="s">
        <v>39</v>
      </c>
      <c r="AS16" s="8"/>
      <c r="AT16" s="31" t="s">
        <v>21</v>
      </c>
      <c r="AU16" s="31"/>
      <c r="AV16" s="31" t="s">
        <v>21</v>
      </c>
      <c r="AW16" s="8"/>
      <c r="AX16" s="8"/>
      <c r="AZ16" s="64"/>
      <c r="BA16" s="21"/>
      <c r="BB16" s="8"/>
      <c r="BC16" s="8"/>
      <c r="BD16" s="65" t="s">
        <v>39</v>
      </c>
      <c r="BE16" s="31"/>
      <c r="BF16" s="31"/>
      <c r="BH16" s="8"/>
      <c r="BJ16" s="8"/>
      <c r="BL16" s="31" t="s">
        <v>39</v>
      </c>
      <c r="BM16" s="8"/>
      <c r="BN16" s="31" t="s">
        <v>21</v>
      </c>
      <c r="BO16" s="31"/>
      <c r="BP16" s="31" t="s">
        <v>21</v>
      </c>
      <c r="BQ16" s="8"/>
    </row>
    <row r="17" spans="2:69" s="20" customFormat="1" ht="15.95" customHeight="1" x14ac:dyDescent="0.25">
      <c r="B17" s="18"/>
      <c r="D17" s="66" t="s">
        <v>18</v>
      </c>
      <c r="E17" s="67"/>
      <c r="F17" s="146" t="s">
        <v>74</v>
      </c>
      <c r="G17" s="67"/>
      <c r="H17" s="31" t="s">
        <v>18</v>
      </c>
      <c r="I17" s="31"/>
      <c r="J17" s="65" t="s">
        <v>18</v>
      </c>
      <c r="K17" s="31"/>
      <c r="L17" s="31"/>
      <c r="M17" s="32"/>
      <c r="N17" s="110" t="s">
        <v>21</v>
      </c>
      <c r="O17" s="110"/>
      <c r="P17" s="146" t="s">
        <v>74</v>
      </c>
      <c r="Q17" s="110"/>
      <c r="R17" s="110" t="s">
        <v>21</v>
      </c>
      <c r="S17" s="110"/>
      <c r="T17" s="115" t="s">
        <v>21</v>
      </c>
      <c r="U17" s="32"/>
      <c r="V17" s="31" t="s">
        <v>33</v>
      </c>
      <c r="W17" s="3"/>
      <c r="X17" s="31" t="s">
        <v>33</v>
      </c>
      <c r="AA17" s="3"/>
      <c r="AB17" s="66" t="s">
        <v>18</v>
      </c>
      <c r="AC17" s="106"/>
      <c r="AD17" s="146" t="s">
        <v>74</v>
      </c>
      <c r="AE17" s="67"/>
      <c r="AF17" s="31" t="s">
        <v>18</v>
      </c>
      <c r="AG17" s="31"/>
      <c r="AH17" s="65" t="s">
        <v>18</v>
      </c>
      <c r="AI17" s="31"/>
      <c r="AJ17" s="31"/>
      <c r="AK17" s="32"/>
      <c r="AL17" s="31" t="s">
        <v>21</v>
      </c>
      <c r="AM17" s="31"/>
      <c r="AN17" s="146" t="s">
        <v>74</v>
      </c>
      <c r="AO17" s="31"/>
      <c r="AP17" s="31" t="s">
        <v>21</v>
      </c>
      <c r="AQ17" s="32"/>
      <c r="AR17" s="115" t="s">
        <v>21</v>
      </c>
      <c r="AS17" s="31"/>
      <c r="AT17" s="31" t="s">
        <v>33</v>
      </c>
      <c r="AU17" s="31"/>
      <c r="AV17" s="31" t="s">
        <v>33</v>
      </c>
      <c r="AW17" s="31"/>
      <c r="AX17" s="31"/>
      <c r="AZ17" s="66" t="s">
        <v>18</v>
      </c>
      <c r="BA17" s="67"/>
      <c r="BB17" s="31" t="s">
        <v>18</v>
      </c>
      <c r="BC17" s="31"/>
      <c r="BD17" s="65" t="s">
        <v>18</v>
      </c>
      <c r="BE17" s="31"/>
      <c r="BF17" s="31"/>
      <c r="BG17" s="32"/>
      <c r="BH17" s="31" t="s">
        <v>21</v>
      </c>
      <c r="BI17" s="32"/>
      <c r="BJ17" s="31" t="s">
        <v>21</v>
      </c>
      <c r="BK17" s="32"/>
      <c r="BL17" s="115" t="s">
        <v>21</v>
      </c>
      <c r="BM17" s="31"/>
      <c r="BN17" s="31" t="s">
        <v>33</v>
      </c>
      <c r="BO17" s="31"/>
      <c r="BP17" s="31" t="s">
        <v>33</v>
      </c>
      <c r="BQ17" s="31"/>
    </row>
    <row r="18" spans="2:69" ht="15.95" customHeight="1" x14ac:dyDescent="0.25">
      <c r="B18" s="18"/>
      <c r="D18" s="66" t="s">
        <v>19</v>
      </c>
      <c r="E18" s="67"/>
      <c r="F18" s="146" t="s">
        <v>75</v>
      </c>
      <c r="G18" s="67"/>
      <c r="H18" s="31" t="s">
        <v>32</v>
      </c>
      <c r="I18" s="31"/>
      <c r="J18" s="65" t="s">
        <v>32</v>
      </c>
      <c r="K18" s="31"/>
      <c r="L18" s="31"/>
      <c r="M18" s="32"/>
      <c r="N18" s="110" t="s">
        <v>19</v>
      </c>
      <c r="O18" s="110"/>
      <c r="P18" s="146" t="s">
        <v>75</v>
      </c>
      <c r="Q18" s="110"/>
      <c r="R18" s="110" t="s">
        <v>32</v>
      </c>
      <c r="S18" s="110"/>
      <c r="T18" s="115" t="s">
        <v>32</v>
      </c>
      <c r="U18" s="32"/>
      <c r="V18" s="115" t="s">
        <v>32</v>
      </c>
      <c r="X18" s="31" t="s">
        <v>91</v>
      </c>
      <c r="Z18" s="3"/>
      <c r="AB18" s="66" t="s">
        <v>19</v>
      </c>
      <c r="AC18" s="106"/>
      <c r="AD18" s="146" t="s">
        <v>75</v>
      </c>
      <c r="AE18" s="67"/>
      <c r="AF18" s="31" t="s">
        <v>32</v>
      </c>
      <c r="AG18" s="31"/>
      <c r="AH18" s="65" t="s">
        <v>32</v>
      </c>
      <c r="AI18" s="31"/>
      <c r="AJ18" s="31"/>
      <c r="AK18" s="32"/>
      <c r="AL18" s="31" t="s">
        <v>19</v>
      </c>
      <c r="AM18" s="31"/>
      <c r="AN18" s="146" t="s">
        <v>75</v>
      </c>
      <c r="AO18" s="31"/>
      <c r="AP18" s="31" t="s">
        <v>32</v>
      </c>
      <c r="AQ18" s="32"/>
      <c r="AR18" s="115" t="s">
        <v>32</v>
      </c>
      <c r="AS18" s="31"/>
      <c r="AT18" s="31" t="s">
        <v>32</v>
      </c>
      <c r="AU18" s="31"/>
      <c r="AV18" s="31" t="s">
        <v>91</v>
      </c>
      <c r="AW18" s="31"/>
      <c r="AX18" s="31"/>
      <c r="AY18" s="14"/>
      <c r="AZ18" s="66" t="s">
        <v>19</v>
      </c>
      <c r="BA18" s="67"/>
      <c r="BB18" s="31" t="s">
        <v>32</v>
      </c>
      <c r="BC18" s="31"/>
      <c r="BD18" s="65" t="s">
        <v>32</v>
      </c>
      <c r="BE18" s="31"/>
      <c r="BF18" s="31"/>
      <c r="BG18" s="32"/>
      <c r="BH18" s="31" t="s">
        <v>19</v>
      </c>
      <c r="BI18" s="32"/>
      <c r="BJ18" s="31" t="s">
        <v>32</v>
      </c>
      <c r="BK18" s="32"/>
      <c r="BL18" s="31" t="s">
        <v>32</v>
      </c>
      <c r="BM18" s="31"/>
      <c r="BN18" s="31" t="s">
        <v>32</v>
      </c>
      <c r="BO18" s="31"/>
      <c r="BP18" s="31" t="s">
        <v>91</v>
      </c>
      <c r="BQ18" s="31"/>
    </row>
    <row r="19" spans="2:69" s="20" customFormat="1" ht="15.95" customHeight="1" x14ac:dyDescent="0.25">
      <c r="B19" s="47" t="s">
        <v>35</v>
      </c>
      <c r="D19" s="64"/>
      <c r="E19" s="8"/>
      <c r="F19" s="8"/>
      <c r="G19" s="8"/>
      <c r="H19" s="8"/>
      <c r="I19" s="8"/>
      <c r="J19" s="68"/>
      <c r="K19" s="8"/>
      <c r="L19" s="8"/>
      <c r="N19" s="109"/>
      <c r="O19" s="109"/>
      <c r="P19" s="135"/>
      <c r="Q19" s="109"/>
      <c r="R19" s="109"/>
      <c r="S19" s="109"/>
      <c r="T19" s="113"/>
      <c r="V19" s="8"/>
      <c r="X19" s="106"/>
      <c r="AB19" s="64"/>
      <c r="AC19" s="160"/>
      <c r="AD19" s="8"/>
      <c r="AE19" s="8"/>
      <c r="AF19" s="8"/>
      <c r="AG19" s="8"/>
      <c r="AH19" s="68"/>
      <c r="AI19" s="8"/>
      <c r="AJ19" s="8"/>
      <c r="AL19" s="8"/>
      <c r="AM19" s="8"/>
      <c r="AN19" s="135"/>
      <c r="AO19" s="8"/>
      <c r="AP19" s="8"/>
      <c r="AR19" s="8"/>
      <c r="AS19" s="8"/>
      <c r="AT19" s="8"/>
      <c r="AU19" s="8"/>
      <c r="AV19" s="106"/>
      <c r="AW19" s="8"/>
      <c r="AX19" s="8"/>
      <c r="AZ19" s="64"/>
      <c r="BA19" s="8"/>
      <c r="BB19" s="8"/>
      <c r="BC19" s="8"/>
      <c r="BD19" s="68"/>
      <c r="BE19" s="8"/>
      <c r="BF19" s="8"/>
      <c r="BH19" s="8"/>
      <c r="BJ19" s="8"/>
      <c r="BL19" s="8"/>
      <c r="BM19" s="8"/>
      <c r="BN19" s="8"/>
      <c r="BO19" s="8"/>
      <c r="BP19" s="106"/>
      <c r="BQ19" s="8"/>
    </row>
    <row r="20" spans="2:69" ht="15.95" customHeight="1" x14ac:dyDescent="0.25">
      <c r="B20" s="40" t="s">
        <v>31</v>
      </c>
      <c r="D20" s="69">
        <f>H20*H5</f>
        <v>12492600</v>
      </c>
      <c r="E20" s="70"/>
      <c r="F20" s="71">
        <f>H5</f>
        <v>300</v>
      </c>
      <c r="G20" s="70"/>
      <c r="H20" s="96">
        <v>41642</v>
      </c>
      <c r="I20" s="70"/>
      <c r="J20" s="78">
        <f>H20/$H$10</f>
        <v>0.2785418060200669</v>
      </c>
      <c r="K20" s="36"/>
      <c r="L20" s="36"/>
      <c r="N20" s="9">
        <f>D20</f>
        <v>12492600</v>
      </c>
      <c r="O20" s="9"/>
      <c r="P20" s="135"/>
      <c r="Q20" s="9"/>
      <c r="R20" s="137">
        <v>43200</v>
      </c>
      <c r="S20" s="132"/>
      <c r="T20" s="113">
        <f>R20/$R$10</f>
        <v>0.28010114763664656</v>
      </c>
      <c r="V20" s="129">
        <f>R20-H20</f>
        <v>1558</v>
      </c>
      <c r="X20" s="124">
        <f>V20/H20</f>
        <v>3.7414149176312375E-2</v>
      </c>
      <c r="Z20" s="3"/>
      <c r="AB20" s="69">
        <f>AF20*AF5</f>
        <v>23325300</v>
      </c>
      <c r="AC20" s="93"/>
      <c r="AD20" s="71">
        <f>$AF$5</f>
        <v>300</v>
      </c>
      <c r="AE20" s="70"/>
      <c r="AF20" s="96">
        <v>77751</v>
      </c>
      <c r="AG20" s="70"/>
      <c r="AH20" s="78">
        <f>AF20/$AF$10</f>
        <v>0.50161935483870967</v>
      </c>
      <c r="AI20" s="36"/>
      <c r="AJ20" s="36"/>
      <c r="AL20" s="9">
        <f>IF(AP20=0,"",AP20*AF$5)</f>
        <v>22857900</v>
      </c>
      <c r="AM20" s="9"/>
      <c r="AO20" s="9"/>
      <c r="AP20" s="7">
        <v>76193</v>
      </c>
      <c r="AQ20" s="20"/>
      <c r="AR20" s="113">
        <f>IF(AP20=0,"",AP20/AP10)</f>
        <v>0.31747083333333331</v>
      </c>
      <c r="AT20" s="129">
        <f>IF(AP20=0,"",AP20-AF20)</f>
        <v>-1558</v>
      </c>
      <c r="AV20" s="124">
        <f>IF(AB20=0,"",((AP20-AF20)/AF20))</f>
        <v>-2.003832748131857E-2</v>
      </c>
      <c r="AY20" s="14"/>
      <c r="AZ20" s="69">
        <f>AB20+D20</f>
        <v>35817900</v>
      </c>
      <c r="BA20" s="70"/>
      <c r="BB20" s="71">
        <f>AF20+H20</f>
        <v>119393</v>
      </c>
      <c r="BC20" s="70"/>
      <c r="BD20" s="78">
        <f>BB20/$BB$10</f>
        <v>0.39209523809523811</v>
      </c>
      <c r="BE20" s="36"/>
      <c r="BF20" s="36"/>
      <c r="BH20" s="9">
        <f>AL20+N20</f>
        <v>35350500</v>
      </c>
      <c r="BJ20" s="9">
        <f>AP20+R20</f>
        <v>119393</v>
      </c>
      <c r="BL20" s="113">
        <f>BJ20/$BJ$10</f>
        <v>0.30285112751439514</v>
      </c>
      <c r="BN20" s="129">
        <f>IF(BJ20=0,"",BJ20-BB20)</f>
        <v>0</v>
      </c>
      <c r="BP20" s="124">
        <f>IF(AZ20=0,"",((BJ20-BB20)/BB20))</f>
        <v>0</v>
      </c>
    </row>
    <row r="21" spans="2:69" s="20" customFormat="1" ht="15.95" customHeight="1" thickBot="1" x14ac:dyDescent="0.3">
      <c r="B21" s="199" t="s">
        <v>96</v>
      </c>
      <c r="D21" s="72">
        <f>D20</f>
        <v>12492600</v>
      </c>
      <c r="E21" s="21"/>
      <c r="F21" s="21"/>
      <c r="G21" s="21"/>
      <c r="H21" s="28">
        <f>H20</f>
        <v>41642</v>
      </c>
      <c r="I21" s="27"/>
      <c r="J21" s="73">
        <f>J20</f>
        <v>0.2785418060200669</v>
      </c>
      <c r="K21" s="37"/>
      <c r="L21" s="52">
        <f>H21/H$118</f>
        <v>0.22116781772115857</v>
      </c>
      <c r="N21" s="136">
        <f>IF(N20="",0,+N20)</f>
        <v>12492600</v>
      </c>
      <c r="O21" s="27"/>
      <c r="P21" s="21"/>
      <c r="Q21" s="27"/>
      <c r="R21" s="136">
        <f>IF(R20="",0,+R20)</f>
        <v>43200</v>
      </c>
      <c r="S21" s="27"/>
      <c r="T21" s="116">
        <f>T20</f>
        <v>0.28010114763664656</v>
      </c>
      <c r="V21" s="121">
        <f>V20</f>
        <v>1558</v>
      </c>
      <c r="X21" s="125">
        <f>X20</f>
        <v>3.7414149176312375E-2</v>
      </c>
      <c r="AB21" s="72">
        <f>AB20</f>
        <v>23325300</v>
      </c>
      <c r="AC21" s="132"/>
      <c r="AD21" s="21"/>
      <c r="AE21" s="21"/>
      <c r="AF21" s="28">
        <f>AF20</f>
        <v>77751</v>
      </c>
      <c r="AG21" s="27"/>
      <c r="AH21" s="73">
        <f>AH20</f>
        <v>0.50161935483870967</v>
      </c>
      <c r="AI21" s="37"/>
      <c r="AJ21" s="52">
        <f>AF21/AF$118</f>
        <v>0.29103780309550054</v>
      </c>
      <c r="AL21" s="28">
        <f>IF(AL20="",0,+AL20)</f>
        <v>22857900</v>
      </c>
      <c r="AM21" s="27"/>
      <c r="AN21" s="21"/>
      <c r="AO21" s="27"/>
      <c r="AP21" s="28">
        <f>AP20</f>
        <v>76193</v>
      </c>
      <c r="AQ21" s="27"/>
      <c r="AR21" s="116">
        <f>IF(AP21="","",SUM(AR20))</f>
        <v>0.31747083333333331</v>
      </c>
      <c r="AT21" s="121">
        <f>AT20</f>
        <v>-1558</v>
      </c>
      <c r="AV21" s="125">
        <f>IF(AP21=0,"",((AP21-AF21)/AF21))</f>
        <v>-2.003832748131857E-2</v>
      </c>
      <c r="AZ21" s="72">
        <f>AZ20</f>
        <v>35817900</v>
      </c>
      <c r="BA21" s="21"/>
      <c r="BB21" s="28">
        <f>BB20</f>
        <v>119393</v>
      </c>
      <c r="BC21" s="27"/>
      <c r="BD21" s="73">
        <f>BD20</f>
        <v>0.39209523809523811</v>
      </c>
      <c r="BE21" s="37"/>
      <c r="BF21" s="52">
        <f>BB21/BB$118</f>
        <v>0.26334028301170642</v>
      </c>
      <c r="BH21" s="28">
        <f>BH20</f>
        <v>35350500</v>
      </c>
      <c r="BI21" s="21"/>
      <c r="BJ21" s="28">
        <f>BJ20</f>
        <v>119393</v>
      </c>
      <c r="BK21" s="27"/>
      <c r="BL21" s="116">
        <f>IF(BJ21="","",SUM(BL20))</f>
        <v>0.30285112751439514</v>
      </c>
      <c r="BN21" s="121">
        <f>BN20</f>
        <v>0</v>
      </c>
      <c r="BO21" s="135"/>
      <c r="BP21" s="125">
        <f>IF(BJ21=0,"",((BJ21-BB21)/BB21))</f>
        <v>0</v>
      </c>
    </row>
    <row r="22" spans="2:69" s="20" customFormat="1" ht="15.95" customHeight="1" x14ac:dyDescent="0.25">
      <c r="B22" s="43"/>
      <c r="D22" s="74"/>
      <c r="E22" s="37"/>
      <c r="F22" s="37"/>
      <c r="G22" s="37"/>
      <c r="H22" s="37"/>
      <c r="I22" s="37"/>
      <c r="J22" s="75"/>
      <c r="K22" s="37"/>
      <c r="L22" s="39"/>
      <c r="N22" s="71"/>
      <c r="O22" s="71"/>
      <c r="P22" s="21"/>
      <c r="Q22" s="71"/>
      <c r="R22" s="71"/>
      <c r="S22" s="71"/>
      <c r="T22" s="117"/>
      <c r="V22" s="128"/>
      <c r="X22" s="126"/>
      <c r="AB22" s="74"/>
      <c r="AC22" s="159"/>
      <c r="AD22" s="37"/>
      <c r="AE22" s="37"/>
      <c r="AF22" s="37"/>
      <c r="AG22" s="37"/>
      <c r="AH22" s="75"/>
      <c r="AI22" s="37"/>
      <c r="AJ22" s="39"/>
      <c r="AL22" s="71"/>
      <c r="AM22" s="71"/>
      <c r="AN22" s="21"/>
      <c r="AO22" s="71"/>
      <c r="AP22" s="71"/>
      <c r="AQ22" s="21"/>
      <c r="AR22" s="117"/>
      <c r="AT22" s="128"/>
      <c r="AV22" s="126"/>
      <c r="AZ22" s="74"/>
      <c r="BA22" s="37"/>
      <c r="BB22" s="37"/>
      <c r="BC22" s="37"/>
      <c r="BD22" s="75"/>
      <c r="BE22" s="37"/>
      <c r="BF22" s="39"/>
      <c r="BH22" s="71"/>
      <c r="BI22" s="21"/>
      <c r="BJ22" s="71"/>
      <c r="BK22" s="21"/>
      <c r="BL22" s="117"/>
      <c r="BN22" s="135"/>
      <c r="BO22" s="135"/>
      <c r="BP22" s="126"/>
    </row>
    <row r="23" spans="2:69" s="20" customFormat="1" ht="15.95" customHeight="1" x14ac:dyDescent="0.25">
      <c r="B23" s="45" t="s">
        <v>34</v>
      </c>
      <c r="D23" s="76"/>
      <c r="E23" s="21"/>
      <c r="F23" s="21"/>
      <c r="G23" s="21"/>
      <c r="H23" s="21"/>
      <c r="I23" s="21"/>
      <c r="J23" s="77"/>
      <c r="N23" s="186"/>
      <c r="O23" s="192"/>
      <c r="P23" s="21"/>
      <c r="Q23" s="192"/>
      <c r="R23" s="186"/>
      <c r="S23" s="186"/>
      <c r="T23" s="117"/>
      <c r="V23" s="128"/>
      <c r="X23" s="126"/>
      <c r="AB23" s="76"/>
      <c r="AC23" s="26"/>
      <c r="AD23" s="21"/>
      <c r="AE23" s="21"/>
      <c r="AF23" s="21"/>
      <c r="AG23" s="21"/>
      <c r="AH23" s="77"/>
      <c r="AL23" s="186"/>
      <c r="AM23" s="192"/>
      <c r="AN23" s="21"/>
      <c r="AO23" s="186"/>
      <c r="AP23" s="71"/>
      <c r="AQ23" s="21"/>
      <c r="AR23" s="117"/>
      <c r="AT23" s="128"/>
      <c r="AV23" s="126"/>
      <c r="AZ23" s="76"/>
      <c r="BA23" s="21"/>
      <c r="BB23" s="21"/>
      <c r="BC23" s="21"/>
      <c r="BD23" s="77"/>
      <c r="BH23" s="71"/>
      <c r="BI23" s="21"/>
      <c r="BJ23" s="71"/>
      <c r="BK23" s="21"/>
      <c r="BL23" s="117"/>
      <c r="BN23" s="135"/>
      <c r="BO23" s="135"/>
      <c r="BP23" s="126"/>
    </row>
    <row r="24" spans="2:69" s="135" customFormat="1" ht="15.95" customHeight="1" x14ac:dyDescent="0.25">
      <c r="B24" s="40" t="s">
        <v>109</v>
      </c>
      <c r="D24" s="97">
        <v>376057.18</v>
      </c>
      <c r="E24" s="70"/>
      <c r="F24" s="71">
        <v>407</v>
      </c>
      <c r="G24" s="70"/>
      <c r="H24" s="27">
        <f>D24/F24</f>
        <v>923.97341523341527</v>
      </c>
      <c r="I24" s="70"/>
      <c r="J24" s="78">
        <f t="shared" ref="J24" si="0">H24/$H$10</f>
        <v>6.1804241821633125E-3</v>
      </c>
      <c r="K24" s="36"/>
      <c r="L24" s="36"/>
      <c r="N24" s="96">
        <v>376057</v>
      </c>
      <c r="O24" s="132"/>
      <c r="P24" s="21">
        <f>$H$8</f>
        <v>407</v>
      </c>
      <c r="Q24" s="132"/>
      <c r="R24" s="132">
        <f t="shared" ref="R24" si="1">N24/P24</f>
        <v>923.97297297297303</v>
      </c>
      <c r="S24" s="132"/>
      <c r="T24" s="113">
        <f t="shared" ref="T24" si="2">R24/$R$10</f>
        <v>5.9908770859947681E-3</v>
      </c>
      <c r="V24" s="129">
        <f t="shared" ref="V24" si="3">R24-H24</f>
        <v>-4.4226044224160432E-4</v>
      </c>
      <c r="X24" s="124">
        <f t="shared" ref="X24" si="4">V24/H24</f>
        <v>-4.7865061369745144E-7</v>
      </c>
      <c r="AB24" s="97">
        <v>0</v>
      </c>
      <c r="AC24" s="132"/>
      <c r="AD24" s="71">
        <f t="shared" ref="AD24:AD36" si="5">$AF$5</f>
        <v>300</v>
      </c>
      <c r="AE24" s="70"/>
      <c r="AF24" s="71">
        <f>AB24/AD24</f>
        <v>0</v>
      </c>
      <c r="AG24" s="70"/>
      <c r="AH24" s="78">
        <f t="shared" ref="AH24" si="6">AF24/$AF$10</f>
        <v>0</v>
      </c>
      <c r="AI24" s="36"/>
      <c r="AJ24" s="36"/>
      <c r="AL24" s="96">
        <v>0</v>
      </c>
      <c r="AM24" s="132"/>
      <c r="AN24" s="21">
        <f>$AF$8</f>
        <v>407</v>
      </c>
      <c r="AO24" s="132"/>
      <c r="AP24" s="132">
        <f t="shared" ref="AP24" si="7">IF(AL24="","",AL24/AF$8)</f>
        <v>0</v>
      </c>
      <c r="AQ24" s="21"/>
      <c r="AR24" s="113">
        <f>IF(AP24="","",AP24/AP$10)</f>
        <v>0</v>
      </c>
      <c r="AT24" s="129">
        <f t="shared" ref="AT24" si="8">IF(AP24="","",AP24-AF24)</f>
        <v>0</v>
      </c>
      <c r="AV24" s="124" t="str">
        <f>IF(AP24=0,"",((AP24-AF24)/AF24))</f>
        <v/>
      </c>
      <c r="AZ24" s="69">
        <f t="shared" ref="AZ24" si="9">AB24+D24</f>
        <v>376057.18</v>
      </c>
      <c r="BA24" s="70"/>
      <c r="BB24" s="71">
        <f t="shared" ref="BB24" si="10">AF24+H24</f>
        <v>923.97341523341527</v>
      </c>
      <c r="BC24" s="70"/>
      <c r="BD24" s="78">
        <f t="shared" ref="BD24" si="11">BB24/$BB$10</f>
        <v>3.0343954523264871E-3</v>
      </c>
      <c r="BE24" s="36"/>
      <c r="BF24" s="36"/>
      <c r="BH24" s="9">
        <f t="shared" ref="BH24" si="12">AL24+N24</f>
        <v>376057</v>
      </c>
      <c r="BI24" s="21"/>
      <c r="BJ24" s="9">
        <f t="shared" ref="BJ24" si="13">AP24+R24</f>
        <v>923.97297297297303</v>
      </c>
      <c r="BK24" s="21"/>
      <c r="BL24" s="113">
        <f>BJ24/$BJ$10</f>
        <v>2.3437408948405068E-3</v>
      </c>
      <c r="BN24" s="129">
        <f t="shared" ref="BN24" si="14">IF(BJ24=0,"",BJ24-BB24)</f>
        <v>-4.4226044224160432E-4</v>
      </c>
      <c r="BP24" s="124">
        <f>IF(AZ24=0,"",((BJ24-BB24)/BB24))</f>
        <v>-4.7865061369745144E-7</v>
      </c>
    </row>
    <row r="25" spans="2:69" ht="15.95" customHeight="1" x14ac:dyDescent="0.25">
      <c r="B25" s="40" t="s">
        <v>54</v>
      </c>
      <c r="D25" s="97">
        <v>250000</v>
      </c>
      <c r="E25" s="70"/>
      <c r="F25" s="71">
        <f t="shared" ref="F25:F36" si="15">$H$5</f>
        <v>300</v>
      </c>
      <c r="G25" s="70"/>
      <c r="H25" s="27">
        <f>D25/F25</f>
        <v>833.33333333333337</v>
      </c>
      <c r="I25" s="70"/>
      <c r="J25" s="78">
        <f t="shared" ref="J25:J36" si="16">H25/$H$10</f>
        <v>5.5741360089186179E-3</v>
      </c>
      <c r="K25" s="36"/>
      <c r="L25" s="36"/>
      <c r="N25" s="96">
        <v>240170</v>
      </c>
      <c r="O25" s="132"/>
      <c r="P25" s="21">
        <f>$H$8</f>
        <v>407</v>
      </c>
      <c r="Q25" s="132"/>
      <c r="R25" s="132">
        <f t="shared" ref="R25:R36" si="17">N25/P25</f>
        <v>590.09828009828004</v>
      </c>
      <c r="S25" s="132"/>
      <c r="T25" s="113">
        <f t="shared" ref="T25:T36" si="18">R25/$R$10</f>
        <v>3.8260927193041563E-3</v>
      </c>
      <c r="V25" s="129">
        <f t="shared" ref="V25:V36" si="19">R25-H25</f>
        <v>-243.23505323505333</v>
      </c>
      <c r="X25" s="124">
        <f t="shared" ref="X25:X37" si="20">V25/H25</f>
        <v>-0.291882063882064</v>
      </c>
      <c r="Z25" s="3"/>
      <c r="AB25" s="97">
        <v>0</v>
      </c>
      <c r="AC25" s="132"/>
      <c r="AD25" s="71">
        <f t="shared" si="5"/>
        <v>300</v>
      </c>
      <c r="AE25" s="70"/>
      <c r="AF25" s="71">
        <f>AB25/AD25</f>
        <v>0</v>
      </c>
      <c r="AG25" s="70"/>
      <c r="AH25" s="78">
        <f t="shared" ref="AH25:AH36" si="21">AF25/$AF$10</f>
        <v>0</v>
      </c>
      <c r="AI25" s="36"/>
      <c r="AJ25" s="36"/>
      <c r="AL25" s="96">
        <v>0</v>
      </c>
      <c r="AM25" s="132"/>
      <c r="AN25" s="21">
        <f>$AF$8</f>
        <v>407</v>
      </c>
      <c r="AO25" s="132"/>
      <c r="AP25" s="132">
        <f t="shared" ref="AP25:AP36" si="22">IF(AL25="","",AL25/AF$8)</f>
        <v>0</v>
      </c>
      <c r="AQ25" s="21"/>
      <c r="AR25" s="113">
        <f>IF(AP25="","",AP25/AP$10)</f>
        <v>0</v>
      </c>
      <c r="AT25" s="129">
        <f t="shared" ref="AT25:AT36" si="23">IF(AP25="","",AP25-AF25)</f>
        <v>0</v>
      </c>
      <c r="AV25" s="124" t="str">
        <f>IF(AP25=0,"",((AP25-AF25)/AF25))</f>
        <v/>
      </c>
      <c r="AY25" s="14"/>
      <c r="AZ25" s="69">
        <f t="shared" ref="AZ25:AZ36" si="24">AB25+D25</f>
        <v>250000</v>
      </c>
      <c r="BA25" s="70"/>
      <c r="BB25" s="71">
        <f t="shared" ref="BB25:BB36" si="25">AF25+H25</f>
        <v>833.33333333333337</v>
      </c>
      <c r="BC25" s="70"/>
      <c r="BD25" s="78">
        <f t="shared" ref="BD25:BD36" si="26">BB25/$BB$10</f>
        <v>2.7367268746579091E-3</v>
      </c>
      <c r="BE25" s="36"/>
      <c r="BF25" s="36"/>
      <c r="BH25" s="9">
        <f t="shared" ref="BH25:BH36" si="27">AL25+N25</f>
        <v>240170</v>
      </c>
      <c r="BI25" s="21"/>
      <c r="BJ25" s="9">
        <f t="shared" ref="BJ25:BJ36" si="28">AP25+R25</f>
        <v>590.09828009828004</v>
      </c>
      <c r="BK25" s="21"/>
      <c r="BL25" s="113">
        <f>BJ25/$BJ$10</f>
        <v>1.4968375823714076E-3</v>
      </c>
      <c r="BN25" s="129">
        <f t="shared" ref="BN25:BN36" si="29">IF(BJ25=0,"",BJ25-BB25)</f>
        <v>-243.23505323505333</v>
      </c>
      <c r="BP25" s="124">
        <f>IF(AZ25=0,"",((BJ25-BB25)/BB25))</f>
        <v>-0.291882063882064</v>
      </c>
    </row>
    <row r="26" spans="2:69" ht="15.95" customHeight="1" x14ac:dyDescent="0.25">
      <c r="B26" s="40" t="s">
        <v>0</v>
      </c>
      <c r="D26" s="97">
        <v>400000</v>
      </c>
      <c r="E26" s="70"/>
      <c r="F26" s="71">
        <f t="shared" si="15"/>
        <v>300</v>
      </c>
      <c r="G26" s="70"/>
      <c r="H26" s="27">
        <f t="shared" ref="H26:H36" si="30">D26/F26</f>
        <v>1333.3333333333333</v>
      </c>
      <c r="I26" s="70"/>
      <c r="J26" s="78">
        <f t="shared" si="16"/>
        <v>8.918617614269788E-3</v>
      </c>
      <c r="K26" s="36"/>
      <c r="L26" s="36"/>
      <c r="N26" s="96">
        <v>3000</v>
      </c>
      <c r="O26" s="132"/>
      <c r="P26" s="21">
        <f t="shared" ref="P26:P36" si="31">$H$8</f>
        <v>407</v>
      </c>
      <c r="Q26" s="132"/>
      <c r="R26" s="132">
        <f t="shared" si="17"/>
        <v>7.3710073710073711</v>
      </c>
      <c r="S26" s="132"/>
      <c r="T26" s="113">
        <f t="shared" si="18"/>
        <v>4.7792306107808927E-5</v>
      </c>
      <c r="V26" s="129">
        <f t="shared" si="19"/>
        <v>-1325.9623259623258</v>
      </c>
      <c r="W26" s="20"/>
      <c r="X26" s="124">
        <f t="shared" si="20"/>
        <v>-0.99447174447174447</v>
      </c>
      <c r="Z26" s="3"/>
      <c r="AB26" s="97">
        <v>150000</v>
      </c>
      <c r="AC26" s="132"/>
      <c r="AD26" s="71">
        <f t="shared" si="5"/>
        <v>300</v>
      </c>
      <c r="AE26" s="70"/>
      <c r="AF26" s="71">
        <f t="shared" ref="AF26:AF36" si="32">AB26/AD26</f>
        <v>500</v>
      </c>
      <c r="AG26" s="70"/>
      <c r="AH26" s="78">
        <f t="shared" si="21"/>
        <v>3.2258064516129032E-3</v>
      </c>
      <c r="AI26" s="36"/>
      <c r="AJ26" s="36"/>
      <c r="AL26" s="96">
        <v>16500</v>
      </c>
      <c r="AM26" s="132"/>
      <c r="AN26" s="21">
        <f t="shared" ref="AN26:AN36" si="33">$AF$8</f>
        <v>407</v>
      </c>
      <c r="AO26" s="132"/>
      <c r="AP26" s="132">
        <f t="shared" si="22"/>
        <v>40.54054054054054</v>
      </c>
      <c r="AQ26" s="21"/>
      <c r="AR26" s="113">
        <f t="shared" ref="AR26:AR36" si="34">IF(AP26="","",AP26/AP$10)</f>
        <v>1.6891891891891893E-4</v>
      </c>
      <c r="AT26" s="129">
        <f t="shared" si="23"/>
        <v>-459.45945945945948</v>
      </c>
      <c r="AV26" s="124">
        <f t="shared" ref="AV26:AV36" si="35">IF(AP26=0,"",((AP26-AF26)/AF26))</f>
        <v>-0.91891891891891897</v>
      </c>
      <c r="AY26" s="14"/>
      <c r="AZ26" s="69">
        <f t="shared" si="24"/>
        <v>550000</v>
      </c>
      <c r="BA26" s="70"/>
      <c r="BB26" s="71">
        <f t="shared" si="25"/>
        <v>1833.3333333333333</v>
      </c>
      <c r="BC26" s="70"/>
      <c r="BD26" s="78">
        <f t="shared" si="26"/>
        <v>6.0207991242474E-3</v>
      </c>
      <c r="BE26" s="36"/>
      <c r="BF26" s="36"/>
      <c r="BH26" s="9">
        <f t="shared" si="27"/>
        <v>19500</v>
      </c>
      <c r="BI26" s="21"/>
      <c r="BJ26" s="9">
        <f t="shared" si="28"/>
        <v>47.911547911547913</v>
      </c>
      <c r="BK26" s="21"/>
      <c r="BL26" s="113">
        <f t="shared" ref="BL26:BL36" si="36">BJ26/$BJ$10</f>
        <v>1.21531968423377E-4</v>
      </c>
      <c r="BN26" s="129">
        <f t="shared" si="29"/>
        <v>-1785.4217854217854</v>
      </c>
      <c r="BP26" s="124">
        <f>IF(AZ26=0,"",((BJ26-BB26)/BB26))</f>
        <v>-0.97386642841188298</v>
      </c>
    </row>
    <row r="27" spans="2:69" ht="15.95" customHeight="1" x14ac:dyDescent="0.25">
      <c r="B27" s="40" t="s">
        <v>1</v>
      </c>
      <c r="D27" s="97">
        <v>1000000</v>
      </c>
      <c r="E27" s="70"/>
      <c r="F27" s="71">
        <f t="shared" si="15"/>
        <v>300</v>
      </c>
      <c r="G27" s="70"/>
      <c r="H27" s="27">
        <f t="shared" si="30"/>
        <v>3333.3333333333335</v>
      </c>
      <c r="I27" s="70"/>
      <c r="J27" s="78">
        <f t="shared" si="16"/>
        <v>2.2296544035674472E-2</v>
      </c>
      <c r="K27" s="36"/>
      <c r="L27" s="36"/>
      <c r="N27" s="96">
        <v>3036970</v>
      </c>
      <c r="O27" s="132"/>
      <c r="P27" s="21">
        <f t="shared" si="31"/>
        <v>407</v>
      </c>
      <c r="Q27" s="132"/>
      <c r="R27" s="132">
        <f t="shared" si="17"/>
        <v>7461.8427518427516</v>
      </c>
      <c r="S27" s="132"/>
      <c r="T27" s="113">
        <f t="shared" si="18"/>
        <v>4.8381266626744156E-2</v>
      </c>
      <c r="V27" s="129">
        <f t="shared" si="19"/>
        <v>4128.5094185094185</v>
      </c>
      <c r="W27" s="20"/>
      <c r="X27" s="124">
        <f t="shared" si="20"/>
        <v>1.2385528255528255</v>
      </c>
      <c r="Z27" s="3"/>
      <c r="AB27" s="97">
        <f>1550000*(474833/(1628000+474833))</f>
        <v>349999.80978042475</v>
      </c>
      <c r="AC27" s="132"/>
      <c r="AD27" s="71">
        <f t="shared" si="5"/>
        <v>300</v>
      </c>
      <c r="AE27" s="70"/>
      <c r="AF27" s="71">
        <f t="shared" si="32"/>
        <v>1166.6660326014157</v>
      </c>
      <c r="AG27" s="70"/>
      <c r="AH27" s="78">
        <f t="shared" si="21"/>
        <v>7.5268776296865533E-3</v>
      </c>
      <c r="AI27" s="36"/>
      <c r="AJ27" s="36"/>
      <c r="AL27" s="201">
        <v>409915</v>
      </c>
      <c r="AM27" s="196"/>
      <c r="AN27" s="21">
        <f t="shared" si="33"/>
        <v>407</v>
      </c>
      <c r="AO27" s="132"/>
      <c r="AP27" s="132">
        <f t="shared" si="22"/>
        <v>1007.1621621621622</v>
      </c>
      <c r="AQ27" s="21"/>
      <c r="AR27" s="113">
        <f t="shared" si="34"/>
        <v>4.196509009009009E-3</v>
      </c>
      <c r="AT27" s="129">
        <f t="shared" si="23"/>
        <v>-159.50387043925355</v>
      </c>
      <c r="AV27" s="124">
        <f t="shared" si="35"/>
        <v>-0.13671767753758463</v>
      </c>
      <c r="AY27" s="14"/>
      <c r="AZ27" s="69">
        <f t="shared" si="24"/>
        <v>1349999.8097804247</v>
      </c>
      <c r="BA27" s="70"/>
      <c r="BB27" s="71">
        <f t="shared" si="25"/>
        <v>4499.9993659347492</v>
      </c>
      <c r="BC27" s="70"/>
      <c r="BD27" s="78">
        <f t="shared" si="26"/>
        <v>1.4778323040836615E-2</v>
      </c>
      <c r="BE27" s="36"/>
      <c r="BF27" s="36"/>
      <c r="BH27" s="9">
        <f t="shared" si="27"/>
        <v>3446885</v>
      </c>
      <c r="BI27" s="21"/>
      <c r="BJ27" s="9">
        <f t="shared" si="28"/>
        <v>8469.0049140049141</v>
      </c>
      <c r="BK27" s="21"/>
      <c r="BL27" s="113">
        <f t="shared" si="36"/>
        <v>2.148239584507753E-2</v>
      </c>
      <c r="BN27" s="129">
        <f t="shared" si="29"/>
        <v>3969.0055480701649</v>
      </c>
      <c r="BP27" s="124">
        <f t="shared" ref="BP27:BP36" si="37">IF(AZ27=0,"",((BJ27-BB27)/BB27))</f>
        <v>0.88200135718146144</v>
      </c>
    </row>
    <row r="28" spans="2:69" ht="15.95" customHeight="1" x14ac:dyDescent="0.25">
      <c r="B28" s="40" t="s">
        <v>2</v>
      </c>
      <c r="D28" s="97">
        <v>80000</v>
      </c>
      <c r="E28" s="70"/>
      <c r="F28" s="71">
        <f t="shared" si="15"/>
        <v>300</v>
      </c>
      <c r="G28" s="70"/>
      <c r="H28" s="27">
        <f t="shared" si="30"/>
        <v>266.66666666666669</v>
      </c>
      <c r="I28" s="70"/>
      <c r="J28" s="78">
        <f t="shared" si="16"/>
        <v>1.7837235228539577E-3</v>
      </c>
      <c r="K28" s="36"/>
      <c r="L28" s="36"/>
      <c r="N28" s="96">
        <v>16200</v>
      </c>
      <c r="O28" s="132"/>
      <c r="P28" s="21">
        <f t="shared" si="31"/>
        <v>407</v>
      </c>
      <c r="Q28" s="132"/>
      <c r="R28" s="132">
        <f t="shared" si="17"/>
        <v>39.803439803439801</v>
      </c>
      <c r="S28" s="132"/>
      <c r="T28" s="113">
        <f t="shared" si="18"/>
        <v>2.5807845298216818E-4</v>
      </c>
      <c r="V28" s="129">
        <f t="shared" si="19"/>
        <v>-226.86322686322688</v>
      </c>
      <c r="W28" s="20"/>
      <c r="X28" s="124">
        <f t="shared" si="20"/>
        <v>-0.85073710073710074</v>
      </c>
      <c r="Z28" s="3"/>
      <c r="AB28" s="97">
        <v>0</v>
      </c>
      <c r="AC28" s="132"/>
      <c r="AD28" s="71">
        <f t="shared" si="5"/>
        <v>300</v>
      </c>
      <c r="AE28" s="70"/>
      <c r="AF28" s="71">
        <f t="shared" si="32"/>
        <v>0</v>
      </c>
      <c r="AG28" s="70"/>
      <c r="AH28" s="78">
        <f t="shared" si="21"/>
        <v>0</v>
      </c>
      <c r="AI28" s="36"/>
      <c r="AJ28" s="36"/>
      <c r="AL28" s="96">
        <v>0</v>
      </c>
      <c r="AM28" s="132"/>
      <c r="AN28" s="21">
        <f t="shared" si="33"/>
        <v>407</v>
      </c>
      <c r="AO28" s="132"/>
      <c r="AP28" s="132">
        <f t="shared" si="22"/>
        <v>0</v>
      </c>
      <c r="AQ28" s="21"/>
      <c r="AR28" s="113">
        <f t="shared" si="34"/>
        <v>0</v>
      </c>
      <c r="AT28" s="129">
        <f t="shared" si="23"/>
        <v>0</v>
      </c>
      <c r="AV28" s="124" t="str">
        <f t="shared" si="35"/>
        <v/>
      </c>
      <c r="AY28" s="14"/>
      <c r="AZ28" s="69">
        <f t="shared" si="24"/>
        <v>80000</v>
      </c>
      <c r="BA28" s="70"/>
      <c r="BB28" s="71">
        <f t="shared" si="25"/>
        <v>266.66666666666669</v>
      </c>
      <c r="BC28" s="70"/>
      <c r="BD28" s="78">
        <f t="shared" si="26"/>
        <v>8.7575259989053095E-4</v>
      </c>
      <c r="BE28" s="36"/>
      <c r="BF28" s="36"/>
      <c r="BH28" s="9">
        <f t="shared" si="27"/>
        <v>16200</v>
      </c>
      <c r="BI28" s="21"/>
      <c r="BJ28" s="9">
        <f t="shared" si="28"/>
        <v>39.803439803439801</v>
      </c>
      <c r="BK28" s="21"/>
      <c r="BL28" s="113">
        <f t="shared" si="36"/>
        <v>1.0096501992095934E-4</v>
      </c>
      <c r="BN28" s="129">
        <f t="shared" si="29"/>
        <v>-226.86322686322688</v>
      </c>
      <c r="BP28" s="124">
        <f t="shared" si="37"/>
        <v>-0.85073710073710074</v>
      </c>
    </row>
    <row r="29" spans="2:69" ht="15.95" customHeight="1" x14ac:dyDescent="0.25">
      <c r="B29" s="40" t="s">
        <v>3</v>
      </c>
      <c r="D29" s="97">
        <v>1000000</v>
      </c>
      <c r="E29" s="70"/>
      <c r="F29" s="71">
        <f t="shared" si="15"/>
        <v>300</v>
      </c>
      <c r="G29" s="70"/>
      <c r="H29" s="27">
        <f t="shared" si="30"/>
        <v>3333.3333333333335</v>
      </c>
      <c r="I29" s="70"/>
      <c r="J29" s="78">
        <f t="shared" si="16"/>
        <v>2.2296544035674472E-2</v>
      </c>
      <c r="K29" s="36"/>
      <c r="L29" s="36"/>
      <c r="N29" s="96">
        <v>6972130</v>
      </c>
      <c r="O29" s="132"/>
      <c r="P29" s="21">
        <f t="shared" si="31"/>
        <v>407</v>
      </c>
      <c r="Q29" s="132"/>
      <c r="R29" s="132">
        <f t="shared" si="17"/>
        <v>17130.54054054054</v>
      </c>
      <c r="S29" s="132"/>
      <c r="T29" s="113">
        <f t="shared" si="18"/>
        <v>0.11107139039447929</v>
      </c>
      <c r="V29" s="129">
        <f t="shared" si="19"/>
        <v>13797.207207207206</v>
      </c>
      <c r="W29" s="20"/>
      <c r="X29" s="124">
        <f t="shared" si="20"/>
        <v>4.1391621621621617</v>
      </c>
      <c r="Z29" s="3"/>
      <c r="AB29" s="97">
        <v>500000</v>
      </c>
      <c r="AC29" s="132"/>
      <c r="AD29" s="71">
        <f t="shared" si="5"/>
        <v>300</v>
      </c>
      <c r="AE29" s="70"/>
      <c r="AF29" s="71">
        <f t="shared" si="32"/>
        <v>1666.6666666666667</v>
      </c>
      <c r="AG29" s="70"/>
      <c r="AH29" s="78">
        <f t="shared" si="21"/>
        <v>1.0752688172043012E-2</v>
      </c>
      <c r="AI29" s="36"/>
      <c r="AJ29" s="36"/>
      <c r="AL29" s="96">
        <v>0</v>
      </c>
      <c r="AM29" s="132"/>
      <c r="AN29" s="21">
        <f t="shared" si="33"/>
        <v>407</v>
      </c>
      <c r="AO29" s="132"/>
      <c r="AP29" s="132">
        <f t="shared" si="22"/>
        <v>0</v>
      </c>
      <c r="AQ29" s="21"/>
      <c r="AR29" s="113">
        <f t="shared" si="34"/>
        <v>0</v>
      </c>
      <c r="AT29" s="129">
        <f t="shared" si="23"/>
        <v>-1666.6666666666667</v>
      </c>
      <c r="AV29" s="124" t="str">
        <f t="shared" si="35"/>
        <v/>
      </c>
      <c r="AY29" s="14"/>
      <c r="AZ29" s="69">
        <f t="shared" si="24"/>
        <v>1500000</v>
      </c>
      <c r="BA29" s="70"/>
      <c r="BB29" s="71">
        <f t="shared" si="25"/>
        <v>5000</v>
      </c>
      <c r="BC29" s="70"/>
      <c r="BD29" s="78">
        <f t="shared" si="26"/>
        <v>1.6420361247947456E-2</v>
      </c>
      <c r="BE29" s="36"/>
      <c r="BF29" s="36"/>
      <c r="BH29" s="9">
        <f t="shared" si="27"/>
        <v>6972130</v>
      </c>
      <c r="BI29" s="21"/>
      <c r="BJ29" s="9">
        <f t="shared" si="28"/>
        <v>17130.54054054054</v>
      </c>
      <c r="BK29" s="21"/>
      <c r="BL29" s="113">
        <f t="shared" si="36"/>
        <v>4.3453163230957915E-2</v>
      </c>
      <c r="BN29" s="129">
        <f t="shared" si="29"/>
        <v>12130.54054054054</v>
      </c>
      <c r="BP29" s="124">
        <f t="shared" si="37"/>
        <v>2.426108108108108</v>
      </c>
    </row>
    <row r="30" spans="2:69" ht="15.95" customHeight="1" x14ac:dyDescent="0.25">
      <c r="B30" s="40" t="s">
        <v>4</v>
      </c>
      <c r="D30" s="97">
        <v>1000000</v>
      </c>
      <c r="E30" s="70"/>
      <c r="F30" s="71">
        <f t="shared" si="15"/>
        <v>300</v>
      </c>
      <c r="G30" s="70"/>
      <c r="H30" s="27">
        <f t="shared" si="30"/>
        <v>3333.3333333333335</v>
      </c>
      <c r="I30" s="70"/>
      <c r="J30" s="78">
        <f t="shared" si="16"/>
        <v>2.2296544035674472E-2</v>
      </c>
      <c r="K30" s="36"/>
      <c r="L30" s="36"/>
      <c r="N30" s="96">
        <v>820000</v>
      </c>
      <c r="O30" s="132"/>
      <c r="P30" s="21">
        <f t="shared" si="31"/>
        <v>407</v>
      </c>
      <c r="Q30" s="132"/>
      <c r="R30" s="132">
        <f t="shared" si="17"/>
        <v>2014.7420147420148</v>
      </c>
      <c r="S30" s="132"/>
      <c r="T30" s="113">
        <f t="shared" si="18"/>
        <v>1.306323033613444E-2</v>
      </c>
      <c r="V30" s="129">
        <f t="shared" si="19"/>
        <v>-1318.5913185913187</v>
      </c>
      <c r="W30" s="20"/>
      <c r="X30" s="124">
        <f t="shared" si="20"/>
        <v>-0.39557739557739557</v>
      </c>
      <c r="Z30" s="3"/>
      <c r="AB30" s="97">
        <v>500000</v>
      </c>
      <c r="AC30" s="132"/>
      <c r="AD30" s="71">
        <f t="shared" si="5"/>
        <v>300</v>
      </c>
      <c r="AE30" s="70"/>
      <c r="AF30" s="71">
        <f t="shared" si="32"/>
        <v>1666.6666666666667</v>
      </c>
      <c r="AG30" s="70"/>
      <c r="AH30" s="78">
        <f t="shared" si="21"/>
        <v>1.0752688172043012E-2</v>
      </c>
      <c r="AI30" s="36"/>
      <c r="AJ30" s="36"/>
      <c r="AL30" s="96">
        <v>810880</v>
      </c>
      <c r="AM30" s="132"/>
      <c r="AN30" s="21">
        <f t="shared" si="33"/>
        <v>407</v>
      </c>
      <c r="AO30" s="132"/>
      <c r="AP30" s="132">
        <f t="shared" si="22"/>
        <v>1992.3341523341523</v>
      </c>
      <c r="AQ30" s="21"/>
      <c r="AR30" s="113">
        <f t="shared" si="34"/>
        <v>8.3013923013923012E-3</v>
      </c>
      <c r="AT30" s="129">
        <f t="shared" si="23"/>
        <v>325.66748566748561</v>
      </c>
      <c r="AV30" s="124">
        <f t="shared" si="35"/>
        <v>0.19540049140049134</v>
      </c>
      <c r="AY30" s="14"/>
      <c r="AZ30" s="69">
        <f t="shared" si="24"/>
        <v>1500000</v>
      </c>
      <c r="BA30" s="70"/>
      <c r="BB30" s="71">
        <f t="shared" si="25"/>
        <v>5000</v>
      </c>
      <c r="BC30" s="70"/>
      <c r="BD30" s="78">
        <f t="shared" si="26"/>
        <v>1.6420361247947456E-2</v>
      </c>
      <c r="BE30" s="36"/>
      <c r="BF30" s="36"/>
      <c r="BH30" s="9">
        <f t="shared" si="27"/>
        <v>1630880</v>
      </c>
      <c r="BI30" s="21"/>
      <c r="BJ30" s="9">
        <f t="shared" si="28"/>
        <v>4007.0761670761672</v>
      </c>
      <c r="BK30" s="21"/>
      <c r="BL30" s="113">
        <f t="shared" si="36"/>
        <v>1.0164310598067543E-2</v>
      </c>
      <c r="BN30" s="129">
        <f t="shared" si="29"/>
        <v>-992.92383292383283</v>
      </c>
      <c r="BP30" s="124">
        <f t="shared" si="37"/>
        <v>-0.19858476658476656</v>
      </c>
    </row>
    <row r="31" spans="2:69" ht="15.95" customHeight="1" x14ac:dyDescent="0.25">
      <c r="B31" s="40" t="s">
        <v>11</v>
      </c>
      <c r="D31" s="97">
        <v>1700000</v>
      </c>
      <c r="E31" s="70"/>
      <c r="F31" s="71">
        <f t="shared" si="15"/>
        <v>300</v>
      </c>
      <c r="G31" s="70"/>
      <c r="H31" s="27">
        <f t="shared" si="30"/>
        <v>5666.666666666667</v>
      </c>
      <c r="I31" s="70"/>
      <c r="J31" s="78">
        <f t="shared" si="16"/>
        <v>3.79041248606466E-2</v>
      </c>
      <c r="K31" s="36"/>
      <c r="L31" s="36"/>
      <c r="N31" s="96">
        <v>4193397</v>
      </c>
      <c r="O31" s="132"/>
      <c r="P31" s="21">
        <f t="shared" si="31"/>
        <v>407</v>
      </c>
      <c r="Q31" s="132"/>
      <c r="R31" s="132">
        <f t="shared" si="17"/>
        <v>10303.186732186732</v>
      </c>
      <c r="S31" s="132"/>
      <c r="T31" s="113">
        <f t="shared" si="18"/>
        <v>6.6804037685189208E-2</v>
      </c>
      <c r="V31" s="129">
        <f t="shared" si="19"/>
        <v>4636.5200655200651</v>
      </c>
      <c r="W31" s="20"/>
      <c r="X31" s="124">
        <f t="shared" si="20"/>
        <v>0.81820942332707025</v>
      </c>
      <c r="Z31" s="3"/>
      <c r="AB31" s="97">
        <v>300000</v>
      </c>
      <c r="AC31" s="132"/>
      <c r="AD31" s="71">
        <f t="shared" si="5"/>
        <v>300</v>
      </c>
      <c r="AE31" s="70"/>
      <c r="AF31" s="71">
        <f t="shared" si="32"/>
        <v>1000</v>
      </c>
      <c r="AG31" s="70"/>
      <c r="AH31" s="78">
        <f t="shared" si="21"/>
        <v>6.4516129032258064E-3</v>
      </c>
      <c r="AI31" s="36"/>
      <c r="AJ31" s="36"/>
      <c r="AL31" s="96">
        <v>1491810</v>
      </c>
      <c r="AM31" s="132"/>
      <c r="AN31" s="21">
        <f t="shared" si="33"/>
        <v>407</v>
      </c>
      <c r="AO31" s="132"/>
      <c r="AP31" s="132">
        <f t="shared" si="22"/>
        <v>3665.3808353808354</v>
      </c>
      <c r="AQ31" s="21"/>
      <c r="AR31" s="113">
        <f t="shared" si="34"/>
        <v>1.5272420147420147E-2</v>
      </c>
      <c r="AT31" s="129">
        <f t="shared" si="23"/>
        <v>2665.3808353808354</v>
      </c>
      <c r="AV31" s="124">
        <f t="shared" si="35"/>
        <v>2.6653808353808355</v>
      </c>
      <c r="AY31" s="14"/>
      <c r="AZ31" s="69">
        <f t="shared" si="24"/>
        <v>2000000</v>
      </c>
      <c r="BA31" s="70"/>
      <c r="BB31" s="71">
        <f t="shared" si="25"/>
        <v>6666.666666666667</v>
      </c>
      <c r="BC31" s="70"/>
      <c r="BD31" s="78">
        <f t="shared" si="26"/>
        <v>2.1893814997263273E-2</v>
      </c>
      <c r="BE31" s="36"/>
      <c r="BF31" s="36"/>
      <c r="BH31" s="9">
        <f t="shared" si="27"/>
        <v>5685207</v>
      </c>
      <c r="BI31" s="21"/>
      <c r="BJ31" s="9">
        <f t="shared" si="28"/>
        <v>13968.567567567567</v>
      </c>
      <c r="BK31" s="21"/>
      <c r="BL31" s="113">
        <f t="shared" si="36"/>
        <v>3.5432533210480094E-2</v>
      </c>
      <c r="BN31" s="129">
        <f t="shared" si="29"/>
        <v>7301.9009009008996</v>
      </c>
      <c r="BP31" s="124">
        <f t="shared" si="37"/>
        <v>1.0952851351351349</v>
      </c>
    </row>
    <row r="32" spans="2:69" ht="15.95" customHeight="1" x14ac:dyDescent="0.25">
      <c r="B32" s="40" t="s">
        <v>5</v>
      </c>
      <c r="D32" s="97">
        <v>600000</v>
      </c>
      <c r="E32" s="70"/>
      <c r="F32" s="71">
        <f t="shared" si="15"/>
        <v>300</v>
      </c>
      <c r="G32" s="70"/>
      <c r="H32" s="27">
        <f t="shared" si="30"/>
        <v>2000</v>
      </c>
      <c r="I32" s="70"/>
      <c r="J32" s="78">
        <f t="shared" si="16"/>
        <v>1.3377926421404682E-2</v>
      </c>
      <c r="K32" s="36"/>
      <c r="L32" s="36"/>
      <c r="N32" s="96">
        <v>481304</v>
      </c>
      <c r="O32" s="132"/>
      <c r="P32" s="21">
        <f t="shared" si="31"/>
        <v>407</v>
      </c>
      <c r="Q32" s="132"/>
      <c r="R32" s="132">
        <f t="shared" si="17"/>
        <v>1182.5651105651107</v>
      </c>
      <c r="S32" s="132"/>
      <c r="T32" s="113">
        <f t="shared" si="18"/>
        <v>7.6675426996376233E-3</v>
      </c>
      <c r="V32" s="129">
        <f t="shared" si="19"/>
        <v>-817.43488943488933</v>
      </c>
      <c r="W32" s="20"/>
      <c r="X32" s="124">
        <f t="shared" si="20"/>
        <v>-0.40871744471744464</v>
      </c>
      <c r="Z32" s="3"/>
      <c r="AB32" s="97">
        <v>0</v>
      </c>
      <c r="AC32" s="132"/>
      <c r="AD32" s="71">
        <f t="shared" si="5"/>
        <v>300</v>
      </c>
      <c r="AE32" s="70"/>
      <c r="AF32" s="71">
        <f t="shared" si="32"/>
        <v>0</v>
      </c>
      <c r="AG32" s="70"/>
      <c r="AH32" s="78">
        <f t="shared" si="21"/>
        <v>0</v>
      </c>
      <c r="AI32" s="36"/>
      <c r="AJ32" s="36"/>
      <c r="AL32" s="96">
        <v>0</v>
      </c>
      <c r="AM32" s="132"/>
      <c r="AN32" s="21">
        <f t="shared" si="33"/>
        <v>407</v>
      </c>
      <c r="AO32" s="132"/>
      <c r="AP32" s="132">
        <f t="shared" si="22"/>
        <v>0</v>
      </c>
      <c r="AQ32" s="21"/>
      <c r="AR32" s="113">
        <f t="shared" si="34"/>
        <v>0</v>
      </c>
      <c r="AT32" s="129">
        <f t="shared" si="23"/>
        <v>0</v>
      </c>
      <c r="AV32" s="124" t="str">
        <f t="shared" si="35"/>
        <v/>
      </c>
      <c r="AY32" s="14"/>
      <c r="AZ32" s="69">
        <f t="shared" si="24"/>
        <v>600000</v>
      </c>
      <c r="BA32" s="70"/>
      <c r="BB32" s="71">
        <f t="shared" si="25"/>
        <v>2000</v>
      </c>
      <c r="BC32" s="70"/>
      <c r="BD32" s="78">
        <f t="shared" si="26"/>
        <v>6.5681444991789817E-3</v>
      </c>
      <c r="BE32" s="36"/>
      <c r="BF32" s="36"/>
      <c r="BH32" s="9">
        <f t="shared" si="27"/>
        <v>481304</v>
      </c>
      <c r="BI32" s="21"/>
      <c r="BJ32" s="9">
        <f t="shared" si="28"/>
        <v>1182.5651105651107</v>
      </c>
      <c r="BK32" s="21"/>
      <c r="BL32" s="113">
        <f t="shared" si="36"/>
        <v>2.9996832066689766E-3</v>
      </c>
      <c r="BN32" s="129">
        <f t="shared" si="29"/>
        <v>-817.43488943488933</v>
      </c>
      <c r="BP32" s="124">
        <f t="shared" si="37"/>
        <v>-0.40871744471744464</v>
      </c>
    </row>
    <row r="33" spans="1:69" ht="15.95" customHeight="1" x14ac:dyDescent="0.25">
      <c r="B33" s="40" t="s">
        <v>13</v>
      </c>
      <c r="D33" s="97">
        <v>450000</v>
      </c>
      <c r="E33" s="70"/>
      <c r="F33" s="71">
        <f t="shared" si="15"/>
        <v>300</v>
      </c>
      <c r="G33" s="70"/>
      <c r="H33" s="27">
        <f t="shared" si="30"/>
        <v>1500</v>
      </c>
      <c r="I33" s="70"/>
      <c r="J33" s="78">
        <f t="shared" si="16"/>
        <v>1.0033444816053512E-2</v>
      </c>
      <c r="K33" s="36"/>
      <c r="L33" s="36"/>
      <c r="N33" s="96">
        <v>143000</v>
      </c>
      <c r="O33" s="132"/>
      <c r="P33" s="21">
        <f t="shared" si="31"/>
        <v>407</v>
      </c>
      <c r="Q33" s="132"/>
      <c r="R33" s="132">
        <f t="shared" si="17"/>
        <v>351.35135135135135</v>
      </c>
      <c r="S33" s="132"/>
      <c r="T33" s="113">
        <f t="shared" si="18"/>
        <v>2.2780999244722258E-3</v>
      </c>
      <c r="V33" s="129">
        <f t="shared" si="19"/>
        <v>-1148.6486486486488</v>
      </c>
      <c r="W33" s="20"/>
      <c r="X33" s="124">
        <f t="shared" si="20"/>
        <v>-0.76576576576576583</v>
      </c>
      <c r="Z33" s="3"/>
      <c r="AB33" s="97">
        <v>0</v>
      </c>
      <c r="AC33" s="132"/>
      <c r="AD33" s="71">
        <f t="shared" si="5"/>
        <v>300</v>
      </c>
      <c r="AE33" s="70"/>
      <c r="AF33" s="71">
        <f t="shared" si="32"/>
        <v>0</v>
      </c>
      <c r="AG33" s="70"/>
      <c r="AH33" s="78">
        <f t="shared" si="21"/>
        <v>0</v>
      </c>
      <c r="AI33" s="36"/>
      <c r="AJ33" s="36"/>
      <c r="AL33" s="96">
        <v>0</v>
      </c>
      <c r="AM33" s="132"/>
      <c r="AN33" s="21">
        <f t="shared" si="33"/>
        <v>407</v>
      </c>
      <c r="AO33" s="132"/>
      <c r="AP33" s="132">
        <f t="shared" si="22"/>
        <v>0</v>
      </c>
      <c r="AQ33" s="21"/>
      <c r="AR33" s="113">
        <f t="shared" si="34"/>
        <v>0</v>
      </c>
      <c r="AT33" s="129">
        <f t="shared" si="23"/>
        <v>0</v>
      </c>
      <c r="AV33" s="124" t="str">
        <f t="shared" si="35"/>
        <v/>
      </c>
      <c r="AY33" s="14"/>
      <c r="AZ33" s="69">
        <f t="shared" si="24"/>
        <v>450000</v>
      </c>
      <c r="BA33" s="70"/>
      <c r="BB33" s="71">
        <f t="shared" si="25"/>
        <v>1500</v>
      </c>
      <c r="BC33" s="70"/>
      <c r="BD33" s="78">
        <f t="shared" si="26"/>
        <v>4.9261083743842365E-3</v>
      </c>
      <c r="BE33" s="36"/>
      <c r="BF33" s="36"/>
      <c r="BH33" s="9">
        <f t="shared" si="27"/>
        <v>143000</v>
      </c>
      <c r="BI33" s="21"/>
      <c r="BJ33" s="9">
        <f t="shared" si="28"/>
        <v>351.35135135135135</v>
      </c>
      <c r="BK33" s="21"/>
      <c r="BL33" s="113">
        <f t="shared" si="36"/>
        <v>8.9123443510476458E-4</v>
      </c>
      <c r="BN33" s="129">
        <f t="shared" si="29"/>
        <v>-1148.6486486486488</v>
      </c>
      <c r="BP33" s="124">
        <f t="shared" si="37"/>
        <v>-0.76576576576576583</v>
      </c>
    </row>
    <row r="34" spans="1:69" ht="15.95" customHeight="1" x14ac:dyDescent="0.25">
      <c r="B34" s="40" t="s">
        <v>6</v>
      </c>
      <c r="D34" s="97">
        <v>400000</v>
      </c>
      <c r="E34" s="70"/>
      <c r="F34" s="71">
        <f t="shared" si="15"/>
        <v>300</v>
      </c>
      <c r="G34" s="70"/>
      <c r="H34" s="27">
        <f t="shared" si="30"/>
        <v>1333.3333333333333</v>
      </c>
      <c r="I34" s="70"/>
      <c r="J34" s="78">
        <f t="shared" si="16"/>
        <v>8.918617614269788E-3</v>
      </c>
      <c r="K34" s="36"/>
      <c r="L34" s="36"/>
      <c r="N34" s="96">
        <v>475689</v>
      </c>
      <c r="O34" s="132"/>
      <c r="P34" s="21">
        <f t="shared" si="31"/>
        <v>407</v>
      </c>
      <c r="Q34" s="132"/>
      <c r="R34" s="132">
        <f t="shared" si="17"/>
        <v>1168.7690417690417</v>
      </c>
      <c r="S34" s="132"/>
      <c r="T34" s="113">
        <f t="shared" si="18"/>
        <v>7.5780914333725066E-3</v>
      </c>
      <c r="V34" s="129">
        <f t="shared" si="19"/>
        <v>-164.56429156429158</v>
      </c>
      <c r="W34" s="20"/>
      <c r="X34" s="124">
        <f t="shared" si="20"/>
        <v>-0.12342321867321869</v>
      </c>
      <c r="Z34" s="3"/>
      <c r="AB34" s="97">
        <v>80000</v>
      </c>
      <c r="AC34" s="132"/>
      <c r="AD34" s="71">
        <f t="shared" si="5"/>
        <v>300</v>
      </c>
      <c r="AE34" s="70"/>
      <c r="AF34" s="71">
        <f t="shared" si="32"/>
        <v>266.66666666666669</v>
      </c>
      <c r="AG34" s="70"/>
      <c r="AH34" s="78">
        <f t="shared" si="21"/>
        <v>1.7204301075268819E-3</v>
      </c>
      <c r="AI34" s="36"/>
      <c r="AJ34" s="36"/>
      <c r="AL34" s="96">
        <v>524500</v>
      </c>
      <c r="AM34" s="132"/>
      <c r="AN34" s="21">
        <f t="shared" si="33"/>
        <v>407</v>
      </c>
      <c r="AO34" s="132"/>
      <c r="AP34" s="132">
        <f t="shared" si="22"/>
        <v>1288.6977886977886</v>
      </c>
      <c r="AQ34" s="21"/>
      <c r="AR34" s="113">
        <f t="shared" si="34"/>
        <v>5.3695741195741191E-3</v>
      </c>
      <c r="AT34" s="129">
        <f t="shared" si="23"/>
        <v>1022.0311220311219</v>
      </c>
      <c r="AV34" s="124">
        <f t="shared" si="35"/>
        <v>3.8326167076167068</v>
      </c>
      <c r="AY34" s="14"/>
      <c r="AZ34" s="69">
        <f t="shared" si="24"/>
        <v>480000</v>
      </c>
      <c r="BA34" s="70"/>
      <c r="BB34" s="71">
        <f t="shared" si="25"/>
        <v>1600</v>
      </c>
      <c r="BC34" s="70"/>
      <c r="BD34" s="78">
        <f t="shared" si="26"/>
        <v>5.2545155993431857E-3</v>
      </c>
      <c r="BE34" s="36"/>
      <c r="BF34" s="36"/>
      <c r="BH34" s="9">
        <f t="shared" si="27"/>
        <v>1000189</v>
      </c>
      <c r="BI34" s="21"/>
      <c r="BJ34" s="9">
        <f t="shared" si="28"/>
        <v>2457.4668304668303</v>
      </c>
      <c r="BK34" s="21"/>
      <c r="BL34" s="113">
        <f t="shared" si="36"/>
        <v>6.2335865623286664E-3</v>
      </c>
      <c r="BN34" s="129">
        <f t="shared" si="29"/>
        <v>857.46683046683029</v>
      </c>
      <c r="BP34" s="124">
        <f t="shared" si="37"/>
        <v>0.53591676904176888</v>
      </c>
    </row>
    <row r="35" spans="1:69" ht="15.95" customHeight="1" x14ac:dyDescent="0.25">
      <c r="B35" s="57" t="s">
        <v>52</v>
      </c>
      <c r="D35" s="97">
        <v>6000000</v>
      </c>
      <c r="E35" s="70"/>
      <c r="F35" s="71">
        <f t="shared" si="15"/>
        <v>300</v>
      </c>
      <c r="G35" s="70"/>
      <c r="H35" s="27">
        <f t="shared" si="30"/>
        <v>20000</v>
      </c>
      <c r="I35" s="70"/>
      <c r="J35" s="78">
        <f t="shared" si="16"/>
        <v>0.13377926421404682</v>
      </c>
      <c r="K35" s="36"/>
      <c r="L35" s="36"/>
      <c r="N35" s="96">
        <v>19719208</v>
      </c>
      <c r="O35" s="132"/>
      <c r="P35" s="21">
        <f t="shared" si="31"/>
        <v>407</v>
      </c>
      <c r="Q35" s="132"/>
      <c r="R35" s="132">
        <f t="shared" si="17"/>
        <v>48450.142506142503</v>
      </c>
      <c r="S35" s="132"/>
      <c r="T35" s="113">
        <f t="shared" si="18"/>
        <v>0.31414214164651821</v>
      </c>
      <c r="V35" s="129">
        <f t="shared" si="19"/>
        <v>28450.142506142503</v>
      </c>
      <c r="W35" s="20"/>
      <c r="X35" s="124">
        <f t="shared" si="20"/>
        <v>1.4225071253071251</v>
      </c>
      <c r="Z35" s="3"/>
      <c r="AB35" s="97">
        <v>500000</v>
      </c>
      <c r="AC35" s="132"/>
      <c r="AD35" s="71">
        <f t="shared" si="5"/>
        <v>300</v>
      </c>
      <c r="AE35" s="70"/>
      <c r="AF35" s="71">
        <f t="shared" si="32"/>
        <v>1666.6666666666667</v>
      </c>
      <c r="AG35" s="70"/>
      <c r="AH35" s="78">
        <f t="shared" si="21"/>
        <v>1.0752688172043012E-2</v>
      </c>
      <c r="AI35" s="36"/>
      <c r="AJ35" s="36"/>
      <c r="AL35" s="96">
        <v>4341333</v>
      </c>
      <c r="AM35" s="132"/>
      <c r="AN35" s="21">
        <f t="shared" si="33"/>
        <v>407</v>
      </c>
      <c r="AO35" s="132"/>
      <c r="AP35" s="132">
        <f t="shared" si="22"/>
        <v>10666.665847665849</v>
      </c>
      <c r="AQ35" s="21"/>
      <c r="AR35" s="113">
        <f t="shared" si="34"/>
        <v>4.4444441031941034E-2</v>
      </c>
      <c r="AT35" s="129">
        <f t="shared" si="23"/>
        <v>8999.9991809991825</v>
      </c>
      <c r="AV35" s="124">
        <f t="shared" si="35"/>
        <v>5.3999995085995094</v>
      </c>
      <c r="AY35" s="14"/>
      <c r="AZ35" s="69">
        <f t="shared" si="24"/>
        <v>6500000</v>
      </c>
      <c r="BA35" s="70"/>
      <c r="BB35" s="71">
        <f t="shared" si="25"/>
        <v>21666.666666666668</v>
      </c>
      <c r="BC35" s="70"/>
      <c r="BD35" s="78">
        <f t="shared" si="26"/>
        <v>7.1154898741105643E-2</v>
      </c>
      <c r="BE35" s="36"/>
      <c r="BF35" s="36"/>
      <c r="BH35" s="9">
        <f t="shared" si="27"/>
        <v>24060541</v>
      </c>
      <c r="BI35" s="21"/>
      <c r="BJ35" s="9">
        <f t="shared" si="28"/>
        <v>59116.808353808352</v>
      </c>
      <c r="BK35" s="21"/>
      <c r="BL35" s="113">
        <f t="shared" si="36"/>
        <v>0.14995512354160859</v>
      </c>
      <c r="BN35" s="129">
        <f t="shared" si="29"/>
        <v>37450.141687141688</v>
      </c>
      <c r="BP35" s="124">
        <f t="shared" si="37"/>
        <v>1.7284680778680779</v>
      </c>
    </row>
    <row r="36" spans="1:69" ht="15.95" customHeight="1" x14ac:dyDescent="0.25">
      <c r="B36" s="40" t="s">
        <v>16</v>
      </c>
      <c r="D36" s="97">
        <v>2200000</v>
      </c>
      <c r="E36" s="70"/>
      <c r="F36" s="71">
        <f t="shared" si="15"/>
        <v>300</v>
      </c>
      <c r="G36" s="70"/>
      <c r="H36" s="27">
        <f t="shared" si="30"/>
        <v>7333.333333333333</v>
      </c>
      <c r="I36" s="70"/>
      <c r="J36" s="78">
        <f t="shared" si="16"/>
        <v>4.9052396878483832E-2</v>
      </c>
      <c r="K36" s="36"/>
      <c r="L36" s="36"/>
      <c r="N36" s="96">
        <v>3077646</v>
      </c>
      <c r="O36" s="132"/>
      <c r="P36" s="21">
        <f t="shared" si="31"/>
        <v>407</v>
      </c>
      <c r="Q36" s="132"/>
      <c r="R36" s="132">
        <f t="shared" si="17"/>
        <v>7561.7837837837842</v>
      </c>
      <c r="S36" s="132"/>
      <c r="T36" s="113">
        <f t="shared" si="18"/>
        <v>4.9029266574491241E-2</v>
      </c>
      <c r="V36" s="129">
        <f t="shared" si="19"/>
        <v>228.45045045045117</v>
      </c>
      <c r="W36" s="20"/>
      <c r="X36" s="124">
        <f t="shared" si="20"/>
        <v>3.1152334152334253E-2</v>
      </c>
      <c r="Z36" s="3"/>
      <c r="AB36" s="97">
        <v>3000000</v>
      </c>
      <c r="AC36" s="132"/>
      <c r="AD36" s="71">
        <f t="shared" si="5"/>
        <v>300</v>
      </c>
      <c r="AE36" s="70"/>
      <c r="AF36" s="71">
        <f t="shared" si="32"/>
        <v>10000</v>
      </c>
      <c r="AG36" s="70"/>
      <c r="AH36" s="78">
        <f t="shared" si="21"/>
        <v>6.4516129032258063E-2</v>
      </c>
      <c r="AI36" s="36"/>
      <c r="AJ36" s="36"/>
      <c r="AL36" s="96">
        <v>2700200</v>
      </c>
      <c r="AM36" s="132"/>
      <c r="AN36" s="21">
        <f t="shared" si="33"/>
        <v>407</v>
      </c>
      <c r="AO36" s="132"/>
      <c r="AP36" s="132">
        <f t="shared" si="22"/>
        <v>6634.3980343980347</v>
      </c>
      <c r="AQ36" s="21"/>
      <c r="AR36" s="113">
        <f t="shared" si="34"/>
        <v>2.7643325143325143E-2</v>
      </c>
      <c r="AT36" s="129">
        <f t="shared" si="23"/>
        <v>-3365.6019656019653</v>
      </c>
      <c r="AV36" s="124">
        <f t="shared" si="35"/>
        <v>-0.33656019656019653</v>
      </c>
      <c r="AY36" s="14"/>
      <c r="AZ36" s="69">
        <f t="shared" si="24"/>
        <v>5200000</v>
      </c>
      <c r="BA36" s="70"/>
      <c r="BB36" s="71">
        <f t="shared" si="25"/>
        <v>17333.333333333332</v>
      </c>
      <c r="BC36" s="70"/>
      <c r="BD36" s="78">
        <f t="shared" si="26"/>
        <v>5.6923918992884508E-2</v>
      </c>
      <c r="BE36" s="36"/>
      <c r="BF36" s="36"/>
      <c r="BH36" s="9">
        <f t="shared" si="27"/>
        <v>5777846</v>
      </c>
      <c r="BI36" s="21"/>
      <c r="BJ36" s="9">
        <f t="shared" si="28"/>
        <v>14196.18181818182</v>
      </c>
      <c r="BK36" s="21"/>
      <c r="BL36" s="113">
        <f t="shared" si="36"/>
        <v>3.6009897314212058E-2</v>
      </c>
      <c r="BN36" s="129">
        <f t="shared" si="29"/>
        <v>-3137.1515151515123</v>
      </c>
      <c r="BP36" s="124">
        <f t="shared" si="37"/>
        <v>-0.18098951048951034</v>
      </c>
    </row>
    <row r="37" spans="1:69" ht="15.95" customHeight="1" thickBot="1" x14ac:dyDescent="0.3">
      <c r="B37" s="199" t="s">
        <v>97</v>
      </c>
      <c r="D37" s="72">
        <f>SUM(D24:D36)</f>
        <v>15456057.18</v>
      </c>
      <c r="E37" s="21"/>
      <c r="F37" s="21"/>
      <c r="G37" s="21"/>
      <c r="H37" s="28">
        <f>SUM(H24:H36)</f>
        <v>51190.640081900085</v>
      </c>
      <c r="I37" s="27"/>
      <c r="J37" s="73">
        <f>SUM(J24:J36)</f>
        <v>0.3424123082401343</v>
      </c>
      <c r="K37" s="37"/>
      <c r="L37" s="52">
        <f>H37/H$118</f>
        <v>0.27188228602524162</v>
      </c>
      <c r="N37" s="122">
        <f>SUM(N24:N36)</f>
        <v>39554771</v>
      </c>
      <c r="O37" s="191"/>
      <c r="P37" s="21"/>
      <c r="Q37" s="191"/>
      <c r="R37" s="122">
        <f>SUM(R24:R36)</f>
        <v>97186.169533169537</v>
      </c>
      <c r="S37" s="195"/>
      <c r="T37" s="123">
        <f>SUM(T24:T36)</f>
        <v>0.63013790788542778</v>
      </c>
      <c r="V37" s="121">
        <f>SUM(V24:V36)</f>
        <v>45995.529451269445</v>
      </c>
      <c r="X37" s="125">
        <f t="shared" si="20"/>
        <v>0.89851444282941251</v>
      </c>
      <c r="Z37" s="3"/>
      <c r="AB37" s="72">
        <f>SUM(AB24:AB36)</f>
        <v>5379999.8097804245</v>
      </c>
      <c r="AC37" s="21"/>
      <c r="AD37" s="21"/>
      <c r="AE37" s="21"/>
      <c r="AF37" s="136">
        <f>SUM(AF24:AF36)</f>
        <v>17933.332699268081</v>
      </c>
      <c r="AG37" s="27"/>
      <c r="AH37" s="73">
        <f>SUM(AH24:AH36)</f>
        <v>0.11569892064043925</v>
      </c>
      <c r="AI37" s="37"/>
      <c r="AJ37" s="52">
        <f>AF37/AF$118</f>
        <v>6.712811090501325E-2</v>
      </c>
      <c r="AL37" s="122">
        <f>SUM(AL24:AL36)</f>
        <v>10295138</v>
      </c>
      <c r="AM37" s="191"/>
      <c r="AN37" s="21"/>
      <c r="AO37" s="191"/>
      <c r="AP37" s="122">
        <f>SUM(AP24:AP36)</f>
        <v>25295.179361179362</v>
      </c>
      <c r="AQ37" s="195"/>
      <c r="AR37" s="123">
        <f>SUM(AR24:AR36)</f>
        <v>0.10539658067158067</v>
      </c>
      <c r="AS37" s="135"/>
      <c r="AT37" s="121">
        <f>SUM(AT24:AT36)</f>
        <v>7361.8466619112805</v>
      </c>
      <c r="AU37" s="135"/>
      <c r="AV37" s="125">
        <f t="shared" ref="AV37" si="38">AT37/AF37</f>
        <v>0.41051191015999733</v>
      </c>
      <c r="AY37" s="14"/>
      <c r="AZ37" s="72">
        <f>SUM(AZ24:AZ36)</f>
        <v>20836056.989780426</v>
      </c>
      <c r="BA37" s="21"/>
      <c r="BB37" s="28">
        <f>SUM(BB24:BB36)</f>
        <v>69123.972781168166</v>
      </c>
      <c r="BC37" s="27"/>
      <c r="BD37" s="73">
        <f>SUM(BD24:BD36)</f>
        <v>0.22700812079201368</v>
      </c>
      <c r="BE37" s="37"/>
      <c r="BF37" s="52">
        <f>BB37/BB$118</f>
        <v>0.1524639346953868</v>
      </c>
      <c r="BH37" s="133">
        <f>SUM(BH24:BH36)</f>
        <v>49849909</v>
      </c>
      <c r="BI37" s="21"/>
      <c r="BJ37" s="122">
        <f>SUM(BJ24:BJ36)</f>
        <v>122481.34889434889</v>
      </c>
      <c r="BK37" s="27"/>
      <c r="BL37" s="123">
        <f>SUM(BL24:BL36)</f>
        <v>0.31068500341006239</v>
      </c>
      <c r="BN37" s="121">
        <f>SUM(BN24:BN36)</f>
        <v>53357.376113180733</v>
      </c>
      <c r="BP37" s="125">
        <f>IF(COUNT(BH24:BH36)=13,((BH37-AZ37)/AZ37),"")</f>
        <v>1.3924828495357906</v>
      </c>
    </row>
    <row r="38" spans="1:69" s="20" customFormat="1" ht="15.95" customHeight="1" x14ac:dyDescent="0.25">
      <c r="B38" s="43"/>
      <c r="D38" s="74"/>
      <c r="E38" s="37"/>
      <c r="F38" s="37"/>
      <c r="G38" s="37"/>
      <c r="H38" s="37"/>
      <c r="I38" s="37"/>
      <c r="J38" s="75"/>
      <c r="K38" s="37"/>
      <c r="L38" s="39"/>
      <c r="N38" s="71"/>
      <c r="O38" s="93"/>
      <c r="P38" s="21"/>
      <c r="Q38" s="93"/>
      <c r="R38" s="93"/>
      <c r="S38" s="93"/>
      <c r="T38" s="117"/>
      <c r="V38" s="128"/>
      <c r="X38" s="126"/>
      <c r="AB38" s="74"/>
      <c r="AC38" s="159"/>
      <c r="AD38" s="37"/>
      <c r="AE38" s="37"/>
      <c r="AF38" s="37"/>
      <c r="AG38" s="37"/>
      <c r="AH38" s="75"/>
      <c r="AI38" s="37"/>
      <c r="AJ38" s="39"/>
      <c r="AL38" s="71"/>
      <c r="AM38" s="93"/>
      <c r="AN38" s="21"/>
      <c r="AO38" s="93"/>
      <c r="AP38" s="71"/>
      <c r="AQ38" s="21"/>
      <c r="AR38" s="117"/>
      <c r="AT38" s="128"/>
      <c r="AV38" s="126"/>
      <c r="AZ38" s="74"/>
      <c r="BA38" s="37"/>
      <c r="BB38" s="37"/>
      <c r="BC38" s="37"/>
      <c r="BD38" s="75"/>
      <c r="BE38" s="37"/>
      <c r="BF38" s="39"/>
      <c r="BH38" s="93"/>
      <c r="BI38" s="21"/>
      <c r="BJ38" s="71"/>
      <c r="BK38" s="21"/>
      <c r="BL38" s="117"/>
      <c r="BN38" s="135"/>
      <c r="BO38" s="135"/>
      <c r="BP38" s="126"/>
    </row>
    <row r="39" spans="1:69" s="5" customFormat="1" ht="15.95" customHeight="1" x14ac:dyDescent="0.25">
      <c r="A39" s="25"/>
      <c r="B39" s="44" t="s">
        <v>14</v>
      </c>
      <c r="D39" s="79"/>
      <c r="E39" s="26"/>
      <c r="F39" s="26"/>
      <c r="G39" s="26"/>
      <c r="H39" s="26"/>
      <c r="I39" s="26"/>
      <c r="J39" s="80"/>
      <c r="K39" s="25"/>
      <c r="L39" s="25"/>
      <c r="N39" s="93"/>
      <c r="O39" s="93"/>
      <c r="P39" s="26"/>
      <c r="Q39" s="93"/>
      <c r="R39" s="93"/>
      <c r="S39" s="93"/>
      <c r="T39" s="118"/>
      <c r="U39" s="25"/>
      <c r="V39" s="130"/>
      <c r="X39" s="127"/>
      <c r="Y39" s="25"/>
      <c r="AB39" s="79"/>
      <c r="AC39" s="26"/>
      <c r="AD39" s="26"/>
      <c r="AE39" s="26"/>
      <c r="AF39" s="26"/>
      <c r="AG39" s="26"/>
      <c r="AH39" s="80"/>
      <c r="AI39" s="25"/>
      <c r="AJ39" s="25"/>
      <c r="AK39" s="25"/>
      <c r="AL39" s="186" t="s">
        <v>92</v>
      </c>
      <c r="AM39" s="192"/>
      <c r="AN39" s="26"/>
      <c r="AO39" s="192"/>
      <c r="AP39" s="93"/>
      <c r="AQ39" s="26"/>
      <c r="AR39" s="118"/>
      <c r="AS39" s="25"/>
      <c r="AT39" s="130"/>
      <c r="AU39" s="25"/>
      <c r="AV39" s="127"/>
      <c r="AW39" s="25"/>
      <c r="AX39" s="25"/>
      <c r="AY39" s="16"/>
      <c r="AZ39" s="79"/>
      <c r="BA39" s="26"/>
      <c r="BB39" s="26"/>
      <c r="BC39" s="26"/>
      <c r="BD39" s="80"/>
      <c r="BE39" s="25"/>
      <c r="BF39" s="25"/>
      <c r="BG39" s="25"/>
      <c r="BH39" s="93"/>
      <c r="BI39" s="26"/>
      <c r="BJ39" s="93"/>
      <c r="BK39" s="26"/>
      <c r="BL39" s="118"/>
      <c r="BM39" s="25"/>
      <c r="BN39" s="25"/>
      <c r="BO39" s="25"/>
      <c r="BP39" s="127"/>
      <c r="BQ39" s="25"/>
    </row>
    <row r="40" spans="1:69" s="25" customFormat="1" ht="15.95" customHeight="1" x14ac:dyDescent="0.25">
      <c r="B40" s="40" t="s">
        <v>54</v>
      </c>
      <c r="D40" s="79"/>
      <c r="E40" s="26"/>
      <c r="F40" s="26"/>
      <c r="G40" s="26"/>
      <c r="H40" s="26"/>
      <c r="I40" s="26"/>
      <c r="J40" s="80"/>
      <c r="N40" s="186"/>
      <c r="O40" s="192"/>
      <c r="P40" s="189"/>
      <c r="Q40" s="192"/>
      <c r="R40" s="186"/>
      <c r="S40" s="186"/>
      <c r="T40" s="118"/>
      <c r="V40" s="130"/>
      <c r="X40" s="127"/>
      <c r="AB40" s="97">
        <v>350000</v>
      </c>
      <c r="AC40" s="26"/>
      <c r="AD40" s="71">
        <f t="shared" ref="AD40:AD49" si="39">$AF$5</f>
        <v>300</v>
      </c>
      <c r="AE40" s="26"/>
      <c r="AF40" s="71">
        <f t="shared" ref="AF40:AF49" si="40">AB40/AD40</f>
        <v>1166.6666666666667</v>
      </c>
      <c r="AG40" s="26"/>
      <c r="AH40" s="78">
        <f t="shared" ref="AH40:AH49" si="41">AF40/$AF$10</f>
        <v>7.526881720430108E-3</v>
      </c>
      <c r="AL40" s="183">
        <v>474833</v>
      </c>
      <c r="AM40" s="202"/>
      <c r="AN40" s="21">
        <f t="shared" ref="AN40:AN55" si="42">$AF$8</f>
        <v>407</v>
      </c>
      <c r="AO40" s="202"/>
      <c r="AP40" s="132">
        <f t="shared" ref="AP40:AP49" si="43">IF(AL40="","",AL40/AF$8)</f>
        <v>1166.6658476658477</v>
      </c>
      <c r="AQ40" s="21"/>
      <c r="AR40" s="113">
        <f t="shared" ref="AR40:AR49" si="44">IF(AP40="","",AP40/AP$10)</f>
        <v>4.8611076986076985E-3</v>
      </c>
      <c r="AS40" s="135"/>
      <c r="AT40" s="129">
        <f t="shared" ref="AT40:AT55" si="45">IF(AP40="","",AP40-AF40)</f>
        <v>-8.1900081909225264E-4</v>
      </c>
      <c r="AU40" s="135"/>
      <c r="AV40" s="124">
        <f t="shared" ref="AV40:AV55" si="46">IF(AP40=0,"",((AP40-AF40)/AF40))</f>
        <v>-7.0200070207907361E-7</v>
      </c>
      <c r="AZ40" s="69">
        <f t="shared" ref="AZ40:AZ55" si="47">AB40+D40</f>
        <v>350000</v>
      </c>
      <c r="BA40" s="26"/>
      <c r="BB40" s="71">
        <f t="shared" ref="BB40:BB55" si="48">AF40+H40</f>
        <v>1166.6666666666667</v>
      </c>
      <c r="BC40" s="26"/>
      <c r="BD40" s="78">
        <f t="shared" ref="BD40:BD49" si="49">BB40/$BB$10</f>
        <v>3.831417624521073E-3</v>
      </c>
      <c r="BH40" s="9">
        <f t="shared" ref="BH40:BH55" si="50">AL40+N40</f>
        <v>474833</v>
      </c>
      <c r="BI40" s="21"/>
      <c r="BJ40" s="9">
        <f t="shared" ref="BJ40:BJ55" si="51">AP40+R40</f>
        <v>1166.6658476658477</v>
      </c>
      <c r="BK40" s="26"/>
      <c r="BL40" s="113">
        <f t="shared" ref="BL40:BL55" si="52">BJ40/$BJ$10</f>
        <v>2.9593532903783265E-3</v>
      </c>
      <c r="BN40" s="129">
        <f>BJ40-BB40</f>
        <v>-8.1900081909225264E-4</v>
      </c>
      <c r="BP40" s="124">
        <f t="shared" ref="BP40:BP55" si="53">IF(AZ40=0,"",((BJ40-BB40)/BB40))</f>
        <v>-7.0200070207907361E-7</v>
      </c>
    </row>
    <row r="41" spans="1:69" s="25" customFormat="1" ht="15.95" customHeight="1" x14ac:dyDescent="0.25">
      <c r="B41" s="40" t="s">
        <v>0</v>
      </c>
      <c r="D41" s="79"/>
      <c r="E41" s="26"/>
      <c r="F41" s="26"/>
      <c r="G41" s="26"/>
      <c r="H41" s="26"/>
      <c r="I41" s="26"/>
      <c r="J41" s="80"/>
      <c r="N41" s="93"/>
      <c r="O41" s="93"/>
      <c r="P41" s="26"/>
      <c r="Q41" s="93"/>
      <c r="R41" s="93"/>
      <c r="S41" s="93"/>
      <c r="T41" s="118"/>
      <c r="V41" s="130"/>
      <c r="X41" s="127"/>
      <c r="AB41" s="97">
        <v>450000</v>
      </c>
      <c r="AC41" s="26"/>
      <c r="AD41" s="71">
        <f t="shared" si="39"/>
        <v>300</v>
      </c>
      <c r="AE41" s="26"/>
      <c r="AF41" s="71">
        <f t="shared" si="40"/>
        <v>1500</v>
      </c>
      <c r="AG41" s="26"/>
      <c r="AH41" s="78">
        <f t="shared" si="41"/>
        <v>9.6774193548387101E-3</v>
      </c>
      <c r="AL41" s="183">
        <v>610500</v>
      </c>
      <c r="AM41" s="202"/>
      <c r="AN41" s="21">
        <f t="shared" si="42"/>
        <v>407</v>
      </c>
      <c r="AO41" s="202"/>
      <c r="AP41" s="132">
        <f t="shared" si="43"/>
        <v>1500</v>
      </c>
      <c r="AQ41" s="21"/>
      <c r="AR41" s="113">
        <f t="shared" si="44"/>
        <v>6.2500000000000003E-3</v>
      </c>
      <c r="AS41" s="135"/>
      <c r="AT41" s="129">
        <f t="shared" si="45"/>
        <v>0</v>
      </c>
      <c r="AU41" s="135"/>
      <c r="AV41" s="124">
        <f t="shared" si="46"/>
        <v>0</v>
      </c>
      <c r="AZ41" s="69">
        <f t="shared" si="47"/>
        <v>450000</v>
      </c>
      <c r="BA41" s="26"/>
      <c r="BB41" s="71">
        <f t="shared" si="48"/>
        <v>1500</v>
      </c>
      <c r="BC41" s="26"/>
      <c r="BD41" s="78">
        <f t="shared" si="49"/>
        <v>4.9261083743842365E-3</v>
      </c>
      <c r="BH41" s="9">
        <f t="shared" si="50"/>
        <v>610500</v>
      </c>
      <c r="BI41" s="21"/>
      <c r="BJ41" s="9">
        <f t="shared" si="51"/>
        <v>1500</v>
      </c>
      <c r="BK41" s="26"/>
      <c r="BL41" s="113">
        <f t="shared" si="52"/>
        <v>3.8048854729472643E-3</v>
      </c>
      <c r="BN41" s="129">
        <f t="shared" ref="BN41:BN55" si="54">BJ41-BB41</f>
        <v>0</v>
      </c>
      <c r="BP41" s="124">
        <f t="shared" si="53"/>
        <v>0</v>
      </c>
    </row>
    <row r="42" spans="1:69" s="25" customFormat="1" ht="15.95" customHeight="1" x14ac:dyDescent="0.25">
      <c r="B42" s="40" t="s">
        <v>1</v>
      </c>
      <c r="D42" s="79"/>
      <c r="E42" s="26"/>
      <c r="F42" s="26"/>
      <c r="G42" s="26"/>
      <c r="H42" s="26"/>
      <c r="I42" s="26"/>
      <c r="J42" s="80"/>
      <c r="N42" s="93"/>
      <c r="O42" s="93"/>
      <c r="P42" s="26"/>
      <c r="Q42" s="93"/>
      <c r="R42" s="93"/>
      <c r="S42" s="93"/>
      <c r="T42" s="118"/>
      <c r="V42" s="130"/>
      <c r="X42" s="127"/>
      <c r="AB42" s="97">
        <f>1550000*(1628000/(1628000+474833))</f>
        <v>1200000.1902195753</v>
      </c>
      <c r="AC42" s="26"/>
      <c r="AD42" s="71">
        <f t="shared" si="39"/>
        <v>300</v>
      </c>
      <c r="AE42" s="26"/>
      <c r="AF42" s="71">
        <f t="shared" si="40"/>
        <v>4000.0006340652512</v>
      </c>
      <c r="AG42" s="26"/>
      <c r="AH42" s="78">
        <f t="shared" si="41"/>
        <v>2.5806455703646782E-2</v>
      </c>
      <c r="AL42" s="183">
        <v>1628000</v>
      </c>
      <c r="AM42" s="202"/>
      <c r="AN42" s="21">
        <f t="shared" si="42"/>
        <v>407</v>
      </c>
      <c r="AO42" s="202"/>
      <c r="AP42" s="132">
        <f t="shared" si="43"/>
        <v>4000</v>
      </c>
      <c r="AQ42" s="21"/>
      <c r="AR42" s="113">
        <f t="shared" si="44"/>
        <v>1.6666666666666666E-2</v>
      </c>
      <c r="AS42" s="135"/>
      <c r="AT42" s="129">
        <f t="shared" si="45"/>
        <v>-6.3406525123355095E-4</v>
      </c>
      <c r="AU42" s="135"/>
      <c r="AV42" s="124">
        <f t="shared" si="46"/>
        <v>-1.5851628768097028E-7</v>
      </c>
      <c r="AZ42" s="69">
        <f t="shared" si="47"/>
        <v>1200000.1902195753</v>
      </c>
      <c r="BA42" s="26"/>
      <c r="BB42" s="71">
        <f t="shared" si="48"/>
        <v>4000.0006340652512</v>
      </c>
      <c r="BC42" s="26"/>
      <c r="BD42" s="78">
        <f t="shared" si="49"/>
        <v>1.3136291080674059E-2</v>
      </c>
      <c r="BH42" s="9">
        <f t="shared" si="50"/>
        <v>1628000</v>
      </c>
      <c r="BI42" s="21"/>
      <c r="BJ42" s="9">
        <f t="shared" si="51"/>
        <v>4000</v>
      </c>
      <c r="BK42" s="26"/>
      <c r="BL42" s="113">
        <f t="shared" si="52"/>
        <v>1.0146361261192704E-2</v>
      </c>
      <c r="BN42" s="129">
        <f t="shared" si="54"/>
        <v>-6.3406525123355095E-4</v>
      </c>
      <c r="BP42" s="124">
        <f t="shared" si="53"/>
        <v>-1.5851628768097028E-7</v>
      </c>
    </row>
    <row r="43" spans="1:69" s="25" customFormat="1" ht="15.95" customHeight="1" x14ac:dyDescent="0.25">
      <c r="B43" s="40" t="s">
        <v>2</v>
      </c>
      <c r="D43" s="79"/>
      <c r="E43" s="26"/>
      <c r="F43" s="26"/>
      <c r="G43" s="26"/>
      <c r="H43" s="26"/>
      <c r="I43" s="26"/>
      <c r="J43" s="80"/>
      <c r="N43" s="93"/>
      <c r="O43" s="93"/>
      <c r="P43" s="26"/>
      <c r="Q43" s="93"/>
      <c r="R43" s="93"/>
      <c r="S43" s="93"/>
      <c r="T43" s="118"/>
      <c r="V43" s="130"/>
      <c r="X43" s="127"/>
      <c r="AB43" s="97">
        <v>150000</v>
      </c>
      <c r="AC43" s="26"/>
      <c r="AD43" s="71">
        <f t="shared" si="39"/>
        <v>300</v>
      </c>
      <c r="AE43" s="26"/>
      <c r="AF43" s="71">
        <f t="shared" si="40"/>
        <v>500</v>
      </c>
      <c r="AG43" s="26"/>
      <c r="AH43" s="78">
        <f t="shared" si="41"/>
        <v>3.2258064516129032E-3</v>
      </c>
      <c r="AL43" s="183">
        <v>203500</v>
      </c>
      <c r="AM43" s="202"/>
      <c r="AN43" s="21">
        <f t="shared" si="42"/>
        <v>407</v>
      </c>
      <c r="AO43" s="202"/>
      <c r="AP43" s="132">
        <f t="shared" si="43"/>
        <v>500</v>
      </c>
      <c r="AQ43" s="21"/>
      <c r="AR43" s="113">
        <f t="shared" si="44"/>
        <v>2.0833333333333333E-3</v>
      </c>
      <c r="AS43" s="135"/>
      <c r="AT43" s="129">
        <f t="shared" si="45"/>
        <v>0</v>
      </c>
      <c r="AU43" s="135"/>
      <c r="AV43" s="124">
        <f t="shared" si="46"/>
        <v>0</v>
      </c>
      <c r="AZ43" s="69">
        <f t="shared" si="47"/>
        <v>150000</v>
      </c>
      <c r="BA43" s="26"/>
      <c r="BB43" s="71">
        <f t="shared" si="48"/>
        <v>500</v>
      </c>
      <c r="BC43" s="26"/>
      <c r="BD43" s="78">
        <f t="shared" si="49"/>
        <v>1.6420361247947454E-3</v>
      </c>
      <c r="BH43" s="9">
        <f t="shared" si="50"/>
        <v>203500</v>
      </c>
      <c r="BI43" s="21"/>
      <c r="BJ43" s="9">
        <f t="shared" si="51"/>
        <v>500</v>
      </c>
      <c r="BK43" s="26"/>
      <c r="BL43" s="113">
        <f t="shared" si="52"/>
        <v>1.268295157649088E-3</v>
      </c>
      <c r="BN43" s="129">
        <f t="shared" si="54"/>
        <v>0</v>
      </c>
      <c r="BP43" s="124">
        <f t="shared" si="53"/>
        <v>0</v>
      </c>
    </row>
    <row r="44" spans="1:69" s="25" customFormat="1" ht="15.95" customHeight="1" x14ac:dyDescent="0.25">
      <c r="B44" s="40" t="s">
        <v>3</v>
      </c>
      <c r="D44" s="79"/>
      <c r="E44" s="26"/>
      <c r="F44" s="26"/>
      <c r="G44" s="26"/>
      <c r="H44" s="26"/>
      <c r="I44" s="26"/>
      <c r="J44" s="80"/>
      <c r="N44" s="93"/>
      <c r="O44" s="93"/>
      <c r="P44" s="26"/>
      <c r="Q44" s="93"/>
      <c r="R44" s="93"/>
      <c r="S44" s="93"/>
      <c r="T44" s="118"/>
      <c r="V44" s="130"/>
      <c r="X44" s="127"/>
      <c r="AB44" s="97">
        <v>1500000</v>
      </c>
      <c r="AC44" s="26"/>
      <c r="AD44" s="71">
        <f t="shared" si="39"/>
        <v>300</v>
      </c>
      <c r="AE44" s="26"/>
      <c r="AF44" s="71">
        <f t="shared" si="40"/>
        <v>5000</v>
      </c>
      <c r="AG44" s="26"/>
      <c r="AH44" s="78">
        <f t="shared" si="41"/>
        <v>3.2258064516129031E-2</v>
      </c>
      <c r="AL44" s="183">
        <v>2035000</v>
      </c>
      <c r="AM44" s="202"/>
      <c r="AN44" s="21">
        <f t="shared" si="42"/>
        <v>407</v>
      </c>
      <c r="AO44" s="202"/>
      <c r="AP44" s="132">
        <f t="shared" si="43"/>
        <v>5000</v>
      </c>
      <c r="AQ44" s="21"/>
      <c r="AR44" s="113">
        <f t="shared" si="44"/>
        <v>2.0833333333333332E-2</v>
      </c>
      <c r="AS44" s="135"/>
      <c r="AT44" s="129">
        <f t="shared" si="45"/>
        <v>0</v>
      </c>
      <c r="AU44" s="135"/>
      <c r="AV44" s="124">
        <f t="shared" si="46"/>
        <v>0</v>
      </c>
      <c r="AZ44" s="69">
        <f t="shared" si="47"/>
        <v>1500000</v>
      </c>
      <c r="BA44" s="26"/>
      <c r="BB44" s="71">
        <f t="shared" si="48"/>
        <v>5000</v>
      </c>
      <c r="BC44" s="26"/>
      <c r="BD44" s="78">
        <f t="shared" si="49"/>
        <v>1.6420361247947456E-2</v>
      </c>
      <c r="BH44" s="9">
        <f t="shared" si="50"/>
        <v>2035000</v>
      </c>
      <c r="BI44" s="21"/>
      <c r="BJ44" s="9">
        <f t="shared" si="51"/>
        <v>5000</v>
      </c>
      <c r="BK44" s="26"/>
      <c r="BL44" s="113">
        <f t="shared" si="52"/>
        <v>1.2682951576490881E-2</v>
      </c>
      <c r="BN44" s="129">
        <f t="shared" si="54"/>
        <v>0</v>
      </c>
      <c r="BP44" s="124">
        <f t="shared" si="53"/>
        <v>0</v>
      </c>
    </row>
    <row r="45" spans="1:69" s="25" customFormat="1" ht="15.95" customHeight="1" x14ac:dyDescent="0.25">
      <c r="B45" s="40" t="s">
        <v>4</v>
      </c>
      <c r="D45" s="79"/>
      <c r="E45" s="26"/>
      <c r="F45" s="26"/>
      <c r="G45" s="26"/>
      <c r="H45" s="26"/>
      <c r="I45" s="26"/>
      <c r="J45" s="80"/>
      <c r="N45" s="93"/>
      <c r="O45" s="93"/>
      <c r="P45" s="26"/>
      <c r="Q45" s="93"/>
      <c r="R45" s="93"/>
      <c r="S45" s="93"/>
      <c r="T45" s="118"/>
      <c r="V45" s="130"/>
      <c r="X45" s="127"/>
      <c r="AB45" s="97">
        <v>1500000</v>
      </c>
      <c r="AC45" s="26"/>
      <c r="AD45" s="71">
        <f t="shared" si="39"/>
        <v>300</v>
      </c>
      <c r="AE45" s="26"/>
      <c r="AF45" s="71">
        <f t="shared" si="40"/>
        <v>5000</v>
      </c>
      <c r="AG45" s="26"/>
      <c r="AH45" s="78">
        <f t="shared" si="41"/>
        <v>3.2258064516129031E-2</v>
      </c>
      <c r="AL45" s="183">
        <v>2035000</v>
      </c>
      <c r="AM45" s="202"/>
      <c r="AN45" s="21">
        <f t="shared" si="42"/>
        <v>407</v>
      </c>
      <c r="AO45" s="202"/>
      <c r="AP45" s="132">
        <f t="shared" si="43"/>
        <v>5000</v>
      </c>
      <c r="AQ45" s="21"/>
      <c r="AR45" s="113">
        <f t="shared" si="44"/>
        <v>2.0833333333333332E-2</v>
      </c>
      <c r="AS45" s="135"/>
      <c r="AT45" s="129">
        <f t="shared" si="45"/>
        <v>0</v>
      </c>
      <c r="AU45" s="135"/>
      <c r="AV45" s="124">
        <f t="shared" si="46"/>
        <v>0</v>
      </c>
      <c r="AZ45" s="69">
        <f t="shared" si="47"/>
        <v>1500000</v>
      </c>
      <c r="BA45" s="26"/>
      <c r="BB45" s="71">
        <f t="shared" si="48"/>
        <v>5000</v>
      </c>
      <c r="BC45" s="26"/>
      <c r="BD45" s="78">
        <f t="shared" si="49"/>
        <v>1.6420361247947456E-2</v>
      </c>
      <c r="BH45" s="9">
        <f t="shared" si="50"/>
        <v>2035000</v>
      </c>
      <c r="BI45" s="21"/>
      <c r="BJ45" s="9">
        <f t="shared" si="51"/>
        <v>5000</v>
      </c>
      <c r="BK45" s="26"/>
      <c r="BL45" s="113">
        <f t="shared" si="52"/>
        <v>1.2682951576490881E-2</v>
      </c>
      <c r="BN45" s="129">
        <f t="shared" si="54"/>
        <v>0</v>
      </c>
      <c r="BP45" s="124">
        <f t="shared" si="53"/>
        <v>0</v>
      </c>
    </row>
    <row r="46" spans="1:69" s="25" customFormat="1" ht="15.95" customHeight="1" x14ac:dyDescent="0.25">
      <c r="B46" s="40" t="s">
        <v>11</v>
      </c>
      <c r="D46" s="79"/>
      <c r="E46" s="26"/>
      <c r="F46" s="26"/>
      <c r="G46" s="26"/>
      <c r="H46" s="26"/>
      <c r="I46" s="26"/>
      <c r="J46" s="80"/>
      <c r="N46" s="93"/>
      <c r="O46" s="93"/>
      <c r="P46" s="26"/>
      <c r="Q46" s="93"/>
      <c r="R46" s="93"/>
      <c r="S46" s="93"/>
      <c r="T46" s="118"/>
      <c r="V46" s="130"/>
      <c r="X46" s="127"/>
      <c r="AB46" s="97">
        <v>2700000</v>
      </c>
      <c r="AC46" s="26"/>
      <c r="AD46" s="71">
        <f t="shared" si="39"/>
        <v>300</v>
      </c>
      <c r="AE46" s="26"/>
      <c r="AF46" s="71">
        <f t="shared" si="40"/>
        <v>9000</v>
      </c>
      <c r="AG46" s="26"/>
      <c r="AH46" s="78">
        <f t="shared" si="41"/>
        <v>5.8064516129032261E-2</v>
      </c>
      <c r="AL46" s="183">
        <v>3663000</v>
      </c>
      <c r="AM46" s="202"/>
      <c r="AN46" s="21">
        <f t="shared" si="42"/>
        <v>407</v>
      </c>
      <c r="AO46" s="202"/>
      <c r="AP46" s="132">
        <f t="shared" si="43"/>
        <v>9000</v>
      </c>
      <c r="AQ46" s="21"/>
      <c r="AR46" s="113">
        <f t="shared" si="44"/>
        <v>3.7499999999999999E-2</v>
      </c>
      <c r="AS46" s="135"/>
      <c r="AT46" s="129">
        <f t="shared" si="45"/>
        <v>0</v>
      </c>
      <c r="AU46" s="135"/>
      <c r="AV46" s="124">
        <f t="shared" si="46"/>
        <v>0</v>
      </c>
      <c r="AZ46" s="69">
        <f t="shared" si="47"/>
        <v>2700000</v>
      </c>
      <c r="BA46" s="26"/>
      <c r="BB46" s="71">
        <f t="shared" si="48"/>
        <v>9000</v>
      </c>
      <c r="BC46" s="26"/>
      <c r="BD46" s="78">
        <f t="shared" si="49"/>
        <v>2.9556650246305417E-2</v>
      </c>
      <c r="BH46" s="9">
        <f t="shared" si="50"/>
        <v>3663000</v>
      </c>
      <c r="BI46" s="21"/>
      <c r="BJ46" s="9">
        <f t="shared" si="51"/>
        <v>9000</v>
      </c>
      <c r="BK46" s="26"/>
      <c r="BL46" s="113">
        <f t="shared" si="52"/>
        <v>2.2829312837683587E-2</v>
      </c>
      <c r="BN46" s="129">
        <f t="shared" si="54"/>
        <v>0</v>
      </c>
      <c r="BP46" s="124">
        <f t="shared" si="53"/>
        <v>0</v>
      </c>
    </row>
    <row r="47" spans="1:69" s="25" customFormat="1" ht="15.95" customHeight="1" x14ac:dyDescent="0.25">
      <c r="B47" s="40" t="s">
        <v>5</v>
      </c>
      <c r="D47" s="79"/>
      <c r="E47" s="26"/>
      <c r="F47" s="26"/>
      <c r="G47" s="26"/>
      <c r="H47" s="26"/>
      <c r="I47" s="26"/>
      <c r="J47" s="80"/>
      <c r="N47" s="93"/>
      <c r="O47" s="93"/>
      <c r="P47" s="26"/>
      <c r="Q47" s="93"/>
      <c r="R47" s="93"/>
      <c r="S47" s="93"/>
      <c r="T47" s="118"/>
      <c r="V47" s="130"/>
      <c r="X47" s="127"/>
      <c r="AB47" s="97">
        <v>1200000</v>
      </c>
      <c r="AC47" s="26"/>
      <c r="AD47" s="71">
        <f t="shared" si="39"/>
        <v>300</v>
      </c>
      <c r="AE47" s="26"/>
      <c r="AF47" s="71">
        <f t="shared" si="40"/>
        <v>4000</v>
      </c>
      <c r="AG47" s="26"/>
      <c r="AH47" s="78">
        <f t="shared" si="41"/>
        <v>2.5806451612903226E-2</v>
      </c>
      <c r="AL47" s="183">
        <v>1628000</v>
      </c>
      <c r="AM47" s="202"/>
      <c r="AN47" s="21">
        <f t="shared" si="42"/>
        <v>407</v>
      </c>
      <c r="AO47" s="202"/>
      <c r="AP47" s="132">
        <f t="shared" si="43"/>
        <v>4000</v>
      </c>
      <c r="AQ47" s="21"/>
      <c r="AR47" s="113">
        <f t="shared" si="44"/>
        <v>1.6666666666666666E-2</v>
      </c>
      <c r="AS47" s="135"/>
      <c r="AT47" s="129">
        <f t="shared" si="45"/>
        <v>0</v>
      </c>
      <c r="AU47" s="135"/>
      <c r="AV47" s="124">
        <f t="shared" si="46"/>
        <v>0</v>
      </c>
      <c r="AZ47" s="69">
        <f t="shared" si="47"/>
        <v>1200000</v>
      </c>
      <c r="BA47" s="26"/>
      <c r="BB47" s="71">
        <f t="shared" si="48"/>
        <v>4000</v>
      </c>
      <c r="BC47" s="26"/>
      <c r="BD47" s="78">
        <f t="shared" si="49"/>
        <v>1.3136288998357963E-2</v>
      </c>
      <c r="BH47" s="9">
        <f t="shared" si="50"/>
        <v>1628000</v>
      </c>
      <c r="BI47" s="21"/>
      <c r="BJ47" s="9">
        <f t="shared" si="51"/>
        <v>4000</v>
      </c>
      <c r="BK47" s="26"/>
      <c r="BL47" s="113">
        <f t="shared" si="52"/>
        <v>1.0146361261192704E-2</v>
      </c>
      <c r="BN47" s="129">
        <f t="shared" si="54"/>
        <v>0</v>
      </c>
      <c r="BP47" s="124">
        <f t="shared" si="53"/>
        <v>0</v>
      </c>
    </row>
    <row r="48" spans="1:69" s="25" customFormat="1" ht="15.95" customHeight="1" x14ac:dyDescent="0.25">
      <c r="B48" s="40" t="s">
        <v>13</v>
      </c>
      <c r="D48" s="79"/>
      <c r="E48" s="26"/>
      <c r="F48" s="26"/>
      <c r="G48" s="26"/>
      <c r="H48" s="26"/>
      <c r="I48" s="26"/>
      <c r="J48" s="80"/>
      <c r="N48" s="93"/>
      <c r="O48" s="93"/>
      <c r="P48" s="26"/>
      <c r="Q48" s="93"/>
      <c r="R48" s="93"/>
      <c r="S48" s="93"/>
      <c r="T48" s="118"/>
      <c r="V48" s="130"/>
      <c r="X48" s="127"/>
      <c r="AB48" s="97">
        <v>900000</v>
      </c>
      <c r="AC48" s="26"/>
      <c r="AD48" s="71">
        <f t="shared" si="39"/>
        <v>300</v>
      </c>
      <c r="AE48" s="26"/>
      <c r="AF48" s="71">
        <f t="shared" si="40"/>
        <v>3000</v>
      </c>
      <c r="AG48" s="26"/>
      <c r="AH48" s="78">
        <f t="shared" si="41"/>
        <v>1.935483870967742E-2</v>
      </c>
      <c r="AL48" s="183">
        <v>1221000</v>
      </c>
      <c r="AM48" s="202"/>
      <c r="AN48" s="21">
        <f t="shared" si="42"/>
        <v>407</v>
      </c>
      <c r="AO48" s="202"/>
      <c r="AP48" s="132">
        <f t="shared" si="43"/>
        <v>3000</v>
      </c>
      <c r="AQ48" s="21"/>
      <c r="AR48" s="113">
        <f t="shared" si="44"/>
        <v>1.2500000000000001E-2</v>
      </c>
      <c r="AS48" s="135"/>
      <c r="AT48" s="129">
        <f t="shared" si="45"/>
        <v>0</v>
      </c>
      <c r="AU48" s="135"/>
      <c r="AV48" s="124">
        <f t="shared" si="46"/>
        <v>0</v>
      </c>
      <c r="AZ48" s="69">
        <f t="shared" si="47"/>
        <v>900000</v>
      </c>
      <c r="BA48" s="26"/>
      <c r="BB48" s="71">
        <f t="shared" si="48"/>
        <v>3000</v>
      </c>
      <c r="BC48" s="26"/>
      <c r="BD48" s="78">
        <f t="shared" si="49"/>
        <v>9.852216748768473E-3</v>
      </c>
      <c r="BH48" s="9">
        <f t="shared" si="50"/>
        <v>1221000</v>
      </c>
      <c r="BI48" s="21"/>
      <c r="BJ48" s="9">
        <f t="shared" si="51"/>
        <v>3000</v>
      </c>
      <c r="BK48" s="26"/>
      <c r="BL48" s="113">
        <f t="shared" si="52"/>
        <v>7.6097709458945286E-3</v>
      </c>
      <c r="BN48" s="129">
        <f t="shared" si="54"/>
        <v>0</v>
      </c>
      <c r="BP48" s="124">
        <f t="shared" si="53"/>
        <v>0</v>
      </c>
    </row>
    <row r="49" spans="1:70" s="25" customFormat="1" ht="15.95" customHeight="1" x14ac:dyDescent="0.25">
      <c r="B49" s="40" t="s">
        <v>6</v>
      </c>
      <c r="D49" s="79"/>
      <c r="E49" s="26"/>
      <c r="F49" s="26"/>
      <c r="G49" s="26"/>
      <c r="H49" s="26"/>
      <c r="I49" s="26"/>
      <c r="J49" s="80"/>
      <c r="P49" s="26"/>
      <c r="T49" s="118"/>
      <c r="V49" s="130"/>
      <c r="X49" s="127"/>
      <c r="AB49" s="97">
        <v>320000</v>
      </c>
      <c r="AC49" s="26"/>
      <c r="AD49" s="71">
        <f t="shared" si="39"/>
        <v>300</v>
      </c>
      <c r="AE49" s="26"/>
      <c r="AF49" s="71">
        <f t="shared" si="40"/>
        <v>1066.6666666666667</v>
      </c>
      <c r="AG49" s="26"/>
      <c r="AH49" s="78">
        <f t="shared" si="41"/>
        <v>6.8817204301075277E-3</v>
      </c>
      <c r="AL49" s="183">
        <v>135531</v>
      </c>
      <c r="AM49" s="202"/>
      <c r="AN49" s="21">
        <f t="shared" si="42"/>
        <v>407</v>
      </c>
      <c r="AO49" s="202"/>
      <c r="AP49" s="132">
        <f t="shared" si="43"/>
        <v>333</v>
      </c>
      <c r="AQ49" s="21"/>
      <c r="AR49" s="113">
        <f t="shared" si="44"/>
        <v>1.3875000000000001E-3</v>
      </c>
      <c r="AS49" s="135"/>
      <c r="AT49" s="129">
        <f t="shared" si="45"/>
        <v>-733.66666666666674</v>
      </c>
      <c r="AU49" s="135"/>
      <c r="AV49" s="124">
        <f t="shared" si="46"/>
        <v>-0.68781250000000005</v>
      </c>
      <c r="AZ49" s="69">
        <f t="shared" si="47"/>
        <v>320000</v>
      </c>
      <c r="BA49" s="26"/>
      <c r="BB49" s="71">
        <f t="shared" si="48"/>
        <v>1066.6666666666667</v>
      </c>
      <c r="BC49" s="26"/>
      <c r="BD49" s="78">
        <f t="shared" si="49"/>
        <v>3.5030103995621238E-3</v>
      </c>
      <c r="BH49" s="9">
        <f t="shared" si="50"/>
        <v>135531</v>
      </c>
      <c r="BI49" s="21"/>
      <c r="BJ49" s="9">
        <f t="shared" si="51"/>
        <v>333</v>
      </c>
      <c r="BK49" s="26"/>
      <c r="BL49" s="113">
        <f t="shared" si="52"/>
        <v>8.4468457499429269E-4</v>
      </c>
      <c r="BN49" s="129">
        <f t="shared" si="54"/>
        <v>-733.66666666666674</v>
      </c>
      <c r="BP49" s="124">
        <f t="shared" si="53"/>
        <v>-0.68781250000000005</v>
      </c>
    </row>
    <row r="50" spans="1:70" s="4" customFormat="1" ht="15.95" customHeight="1" x14ac:dyDescent="0.25">
      <c r="A50" s="23"/>
      <c r="B50" s="24" t="s">
        <v>7</v>
      </c>
      <c r="D50" s="97">
        <v>4000000</v>
      </c>
      <c r="E50" s="70"/>
      <c r="F50" s="71">
        <f t="shared" ref="F50:F55" si="55">$H$5</f>
        <v>300</v>
      </c>
      <c r="G50" s="70"/>
      <c r="H50" s="27">
        <f t="shared" ref="H50:H55" si="56">D50/F50</f>
        <v>13333.333333333334</v>
      </c>
      <c r="I50" s="70"/>
      <c r="J50" s="78">
        <f t="shared" ref="J50:J55" si="57">H50/$H$10</f>
        <v>8.9186176142697887E-2</v>
      </c>
      <c r="K50" s="36"/>
      <c r="L50" s="36"/>
      <c r="N50" s="120">
        <v>3044226</v>
      </c>
      <c r="O50" s="193"/>
      <c r="P50" s="24">
        <v>407</v>
      </c>
      <c r="Q50" s="193"/>
      <c r="R50" s="132">
        <f t="shared" ref="R50:R55" si="58">N50/P50</f>
        <v>7479.6707616707617</v>
      </c>
      <c r="S50" s="132"/>
      <c r="T50" s="113">
        <f t="shared" ref="T50:T55" si="59">R50/$R$10</f>
        <v>4.8496860284450251E-2</v>
      </c>
      <c r="U50" s="135"/>
      <c r="V50" s="129">
        <f t="shared" ref="V50:V55" si="60">R50-H50</f>
        <v>-5853.6625716625722</v>
      </c>
      <c r="W50" s="135"/>
      <c r="X50" s="124">
        <f t="shared" ref="X50:X55" si="61">V50/H50</f>
        <v>-0.43902469287469287</v>
      </c>
      <c r="Y50" s="23"/>
      <c r="AB50" s="97">
        <v>5000000</v>
      </c>
      <c r="AC50" s="132"/>
      <c r="AD50" s="71">
        <f t="shared" ref="AD50:AD55" si="62">$AF$5</f>
        <v>300</v>
      </c>
      <c r="AE50" s="70"/>
      <c r="AF50" s="71">
        <f t="shared" ref="AF50:AF55" si="63">AB50/AD50</f>
        <v>16666.666666666668</v>
      </c>
      <c r="AG50" s="70"/>
      <c r="AH50" s="78">
        <f t="shared" ref="AH50:AH55" si="64">AF50/$AF$10</f>
        <v>0.10752688172043011</v>
      </c>
      <c r="AI50" s="36"/>
      <c r="AJ50" s="36"/>
      <c r="AK50" s="23"/>
      <c r="AL50" s="184">
        <v>8818333</v>
      </c>
      <c r="AM50" s="203"/>
      <c r="AN50" s="21">
        <f t="shared" si="42"/>
        <v>407</v>
      </c>
      <c r="AO50" s="203"/>
      <c r="AP50" s="132">
        <f t="shared" ref="AP50:AP55" si="65">IF(AL50=0,"",AL50/AF$8)</f>
        <v>21666.665847665849</v>
      </c>
      <c r="AQ50" s="21"/>
      <c r="AR50" s="113">
        <f t="shared" ref="AR50:AR55" si="66">IF(AP50="","",AP50/AP$10)</f>
        <v>9.0277774365274371E-2</v>
      </c>
      <c r="AS50" s="20"/>
      <c r="AT50" s="129">
        <f t="shared" si="45"/>
        <v>4999.9991809991807</v>
      </c>
      <c r="AU50" s="20"/>
      <c r="AV50" s="124">
        <f t="shared" si="46"/>
        <v>0.29999995085995079</v>
      </c>
      <c r="AW50" s="23"/>
      <c r="AX50" s="23"/>
      <c r="AY50" s="15"/>
      <c r="AZ50" s="69">
        <f t="shared" si="47"/>
        <v>9000000</v>
      </c>
      <c r="BA50" s="70"/>
      <c r="BB50" s="71">
        <f t="shared" si="48"/>
        <v>30000</v>
      </c>
      <c r="BC50" s="70"/>
      <c r="BD50" s="78">
        <f t="shared" ref="BD50:BD55" si="67">BB50/$BB$10</f>
        <v>9.8522167487684734E-2</v>
      </c>
      <c r="BE50" s="36"/>
      <c r="BF50" s="36"/>
      <c r="BG50" s="23"/>
      <c r="BH50" s="9">
        <f t="shared" si="50"/>
        <v>11862559</v>
      </c>
      <c r="BI50" s="21"/>
      <c r="BJ50" s="9">
        <f t="shared" si="51"/>
        <v>29146.336609336609</v>
      </c>
      <c r="BK50" s="21"/>
      <c r="BL50" s="113">
        <f t="shared" si="52"/>
        <v>7.393231516966392E-2</v>
      </c>
      <c r="BM50" s="20"/>
      <c r="BN50" s="129">
        <f t="shared" si="54"/>
        <v>-853.6633906633906</v>
      </c>
      <c r="BO50" s="135"/>
      <c r="BP50" s="124">
        <f t="shared" si="53"/>
        <v>-2.8455446355446352E-2</v>
      </c>
      <c r="BQ50" s="23"/>
    </row>
    <row r="51" spans="1:70" s="4" customFormat="1" ht="15.95" customHeight="1" x14ac:dyDescent="0.25">
      <c r="A51" s="23"/>
      <c r="B51" s="24" t="s">
        <v>12</v>
      </c>
      <c r="D51" s="97">
        <v>900000</v>
      </c>
      <c r="E51" s="70"/>
      <c r="F51" s="71">
        <f t="shared" si="55"/>
        <v>300</v>
      </c>
      <c r="G51" s="70"/>
      <c r="H51" s="27">
        <f t="shared" si="56"/>
        <v>3000</v>
      </c>
      <c r="I51" s="70"/>
      <c r="J51" s="78">
        <f t="shared" si="57"/>
        <v>2.0066889632107024E-2</v>
      </c>
      <c r="K51" s="36"/>
      <c r="L51" s="36"/>
      <c r="N51" s="120">
        <v>992402</v>
      </c>
      <c r="O51" s="193"/>
      <c r="P51" s="24">
        <v>407</v>
      </c>
      <c r="Q51" s="193"/>
      <c r="R51" s="132">
        <f t="shared" si="58"/>
        <v>2438.3341523341523</v>
      </c>
      <c r="S51" s="132"/>
      <c r="T51" s="113">
        <f t="shared" si="59"/>
        <v>1.5809726722000598E-2</v>
      </c>
      <c r="U51" s="135"/>
      <c r="V51" s="129">
        <f t="shared" si="60"/>
        <v>-561.66584766584765</v>
      </c>
      <c r="W51" s="135"/>
      <c r="X51" s="124">
        <f t="shared" si="61"/>
        <v>-0.18722194922194921</v>
      </c>
      <c r="Y51" s="23"/>
      <c r="AB51" s="97">
        <v>800000</v>
      </c>
      <c r="AC51" s="132"/>
      <c r="AD51" s="71">
        <f t="shared" si="62"/>
        <v>300</v>
      </c>
      <c r="AE51" s="70"/>
      <c r="AF51" s="71">
        <f t="shared" si="63"/>
        <v>2666.6666666666665</v>
      </c>
      <c r="AG51" s="70"/>
      <c r="AH51" s="78">
        <f t="shared" si="64"/>
        <v>1.7204301075268817E-2</v>
      </c>
      <c r="AI51" s="36"/>
      <c r="AJ51" s="36"/>
      <c r="AK51" s="23"/>
      <c r="AL51" s="184">
        <v>1085333</v>
      </c>
      <c r="AM51" s="203"/>
      <c r="AN51" s="21">
        <f t="shared" si="42"/>
        <v>407</v>
      </c>
      <c r="AO51" s="203"/>
      <c r="AP51" s="132">
        <f t="shared" si="65"/>
        <v>2666.6658476658477</v>
      </c>
      <c r="AQ51" s="21"/>
      <c r="AR51" s="113">
        <f t="shared" si="66"/>
        <v>1.1111107698607698E-2</v>
      </c>
      <c r="AS51" s="20"/>
      <c r="AT51" s="129">
        <f t="shared" si="45"/>
        <v>-8.1900081886487897E-4</v>
      </c>
      <c r="AU51" s="20"/>
      <c r="AV51" s="124">
        <f t="shared" si="46"/>
        <v>-3.0712530707432962E-7</v>
      </c>
      <c r="AW51" s="23"/>
      <c r="AX51" s="23"/>
      <c r="AY51" s="15"/>
      <c r="AZ51" s="69">
        <f t="shared" si="47"/>
        <v>1700000</v>
      </c>
      <c r="BA51" s="70"/>
      <c r="BB51" s="71">
        <f t="shared" si="48"/>
        <v>5666.6666666666661</v>
      </c>
      <c r="BC51" s="70"/>
      <c r="BD51" s="78">
        <f t="shared" si="67"/>
        <v>1.8609742747673779E-2</v>
      </c>
      <c r="BE51" s="36"/>
      <c r="BF51" s="36"/>
      <c r="BG51" s="23"/>
      <c r="BH51" s="9">
        <f t="shared" si="50"/>
        <v>2077735</v>
      </c>
      <c r="BI51" s="21"/>
      <c r="BJ51" s="9">
        <f t="shared" si="51"/>
        <v>5105</v>
      </c>
      <c r="BK51" s="21"/>
      <c r="BL51" s="113">
        <f t="shared" si="52"/>
        <v>1.2949293559597189E-2</v>
      </c>
      <c r="BM51" s="20"/>
      <c r="BN51" s="129">
        <f t="shared" si="54"/>
        <v>-561.66666666666606</v>
      </c>
      <c r="BO51" s="135"/>
      <c r="BP51" s="124">
        <f t="shared" si="53"/>
        <v>-9.9117647058823435E-2</v>
      </c>
      <c r="BQ51" s="23"/>
    </row>
    <row r="52" spans="1:70" ht="15.95" customHeight="1" x14ac:dyDescent="0.25">
      <c r="B52" s="40" t="s">
        <v>10</v>
      </c>
      <c r="D52" s="97">
        <v>200000</v>
      </c>
      <c r="E52" s="70"/>
      <c r="F52" s="71">
        <f t="shared" si="55"/>
        <v>300</v>
      </c>
      <c r="G52" s="70"/>
      <c r="H52" s="27">
        <f t="shared" si="56"/>
        <v>666.66666666666663</v>
      </c>
      <c r="I52" s="70"/>
      <c r="J52" s="78">
        <f t="shared" si="57"/>
        <v>4.459308807134894E-3</v>
      </c>
      <c r="K52" s="36"/>
      <c r="L52" s="36"/>
      <c r="N52" s="120">
        <v>433396</v>
      </c>
      <c r="O52" s="193"/>
      <c r="P52" s="24">
        <v>407</v>
      </c>
      <c r="Q52" s="193"/>
      <c r="R52" s="132">
        <f t="shared" si="58"/>
        <v>1064.8550368550368</v>
      </c>
      <c r="S52" s="132"/>
      <c r="T52" s="113">
        <f t="shared" si="59"/>
        <v>6.9043314326333195E-3</v>
      </c>
      <c r="U52" s="135"/>
      <c r="V52" s="129">
        <f t="shared" si="60"/>
        <v>398.18837018837019</v>
      </c>
      <c r="W52" s="135"/>
      <c r="X52" s="124">
        <f t="shared" si="61"/>
        <v>0.59728255528255536</v>
      </c>
      <c r="Z52" s="3"/>
      <c r="AB52" s="97">
        <v>350000</v>
      </c>
      <c r="AC52" s="132"/>
      <c r="AD52" s="71">
        <f t="shared" si="62"/>
        <v>300</v>
      </c>
      <c r="AE52" s="70"/>
      <c r="AF52" s="71">
        <f t="shared" si="63"/>
        <v>1166.6666666666667</v>
      </c>
      <c r="AG52" s="70"/>
      <c r="AH52" s="78">
        <f t="shared" si="64"/>
        <v>7.526881720430108E-3</v>
      </c>
      <c r="AI52" s="36"/>
      <c r="AJ52" s="36"/>
      <c r="AL52" s="184">
        <v>474833</v>
      </c>
      <c r="AM52" s="203"/>
      <c r="AN52" s="21">
        <f t="shared" si="42"/>
        <v>407</v>
      </c>
      <c r="AO52" s="203"/>
      <c r="AP52" s="132">
        <f t="shared" si="65"/>
        <v>1166.6658476658477</v>
      </c>
      <c r="AQ52" s="21"/>
      <c r="AR52" s="113">
        <f t="shared" si="66"/>
        <v>4.8611076986076985E-3</v>
      </c>
      <c r="AT52" s="129">
        <f t="shared" si="45"/>
        <v>-8.1900081909225264E-4</v>
      </c>
      <c r="AV52" s="124">
        <f t="shared" si="46"/>
        <v>-7.0200070207907361E-7</v>
      </c>
      <c r="AY52" s="14"/>
      <c r="AZ52" s="69">
        <f t="shared" si="47"/>
        <v>550000</v>
      </c>
      <c r="BA52" s="70"/>
      <c r="BB52" s="71">
        <f t="shared" si="48"/>
        <v>1833.3333333333335</v>
      </c>
      <c r="BC52" s="70"/>
      <c r="BD52" s="78">
        <f t="shared" si="67"/>
        <v>6.0207991242474009E-3</v>
      </c>
      <c r="BE52" s="36"/>
      <c r="BF52" s="36"/>
      <c r="BH52" s="9">
        <f t="shared" si="50"/>
        <v>908229</v>
      </c>
      <c r="BI52" s="21"/>
      <c r="BJ52" s="9">
        <f t="shared" si="51"/>
        <v>2231.5208845208845</v>
      </c>
      <c r="BK52" s="21"/>
      <c r="BL52" s="113">
        <f t="shared" si="52"/>
        <v>5.6604542640612951E-3</v>
      </c>
      <c r="BN52" s="129">
        <f t="shared" si="54"/>
        <v>398.18755118755098</v>
      </c>
      <c r="BP52" s="124">
        <f t="shared" si="53"/>
        <v>0.21719320973866416</v>
      </c>
    </row>
    <row r="53" spans="1:70" ht="15.95" customHeight="1" x14ac:dyDescent="0.25">
      <c r="B53" s="40" t="s">
        <v>8</v>
      </c>
      <c r="D53" s="97">
        <v>300000</v>
      </c>
      <c r="E53" s="70"/>
      <c r="F53" s="71">
        <f t="shared" si="55"/>
        <v>300</v>
      </c>
      <c r="G53" s="70"/>
      <c r="H53" s="27">
        <f t="shared" si="56"/>
        <v>1000</v>
      </c>
      <c r="I53" s="70"/>
      <c r="J53" s="78">
        <f t="shared" si="57"/>
        <v>6.688963210702341E-3</v>
      </c>
      <c r="K53" s="36"/>
      <c r="L53" s="36"/>
      <c r="N53" s="120">
        <v>983940</v>
      </c>
      <c r="O53" s="193"/>
      <c r="P53" s="24">
        <v>407</v>
      </c>
      <c r="Q53" s="193"/>
      <c r="R53" s="132">
        <f t="shared" si="58"/>
        <v>2417.5429975429975</v>
      </c>
      <c r="S53" s="132"/>
      <c r="T53" s="113">
        <f t="shared" si="59"/>
        <v>1.5674920557239173E-2</v>
      </c>
      <c r="U53" s="135"/>
      <c r="V53" s="129">
        <f t="shared" si="60"/>
        <v>1417.5429975429975</v>
      </c>
      <c r="W53" s="135"/>
      <c r="X53" s="124">
        <f t="shared" si="61"/>
        <v>1.4175429975429974</v>
      </c>
      <c r="Z53" s="3"/>
      <c r="AB53" s="97">
        <v>500000</v>
      </c>
      <c r="AC53" s="132"/>
      <c r="AD53" s="71">
        <f t="shared" si="62"/>
        <v>300</v>
      </c>
      <c r="AE53" s="70"/>
      <c r="AF53" s="71">
        <f t="shared" si="63"/>
        <v>1666.6666666666667</v>
      </c>
      <c r="AG53" s="70"/>
      <c r="AH53" s="78">
        <f t="shared" si="64"/>
        <v>1.0752688172043012E-2</v>
      </c>
      <c r="AI53" s="36"/>
      <c r="AJ53" s="36"/>
      <c r="AL53" s="184">
        <v>678333</v>
      </c>
      <c r="AM53" s="203"/>
      <c r="AN53" s="21">
        <f t="shared" si="42"/>
        <v>407</v>
      </c>
      <c r="AO53" s="203"/>
      <c r="AP53" s="132">
        <f t="shared" si="65"/>
        <v>1666.6658476658477</v>
      </c>
      <c r="AQ53" s="21"/>
      <c r="AR53" s="113">
        <f t="shared" si="66"/>
        <v>6.9444410319410323E-3</v>
      </c>
      <c r="AT53" s="129">
        <f t="shared" si="45"/>
        <v>-8.1900081909225264E-4</v>
      </c>
      <c r="AV53" s="124">
        <f t="shared" si="46"/>
        <v>-4.9140049145535152E-7</v>
      </c>
      <c r="AY53" s="14"/>
      <c r="AZ53" s="69">
        <f t="shared" si="47"/>
        <v>800000</v>
      </c>
      <c r="BA53" s="70"/>
      <c r="BB53" s="71">
        <f t="shared" si="48"/>
        <v>2666.666666666667</v>
      </c>
      <c r="BC53" s="70"/>
      <c r="BD53" s="78">
        <f t="shared" si="67"/>
        <v>8.7575259989053095E-3</v>
      </c>
      <c r="BE53" s="36"/>
      <c r="BF53" s="36"/>
      <c r="BH53" s="9">
        <f t="shared" si="50"/>
        <v>1662273</v>
      </c>
      <c r="BI53" s="21"/>
      <c r="BJ53" s="9">
        <f t="shared" si="51"/>
        <v>4084.2088452088451</v>
      </c>
      <c r="BK53" s="21"/>
      <c r="BL53" s="113">
        <f t="shared" si="52"/>
        <v>1.0359964602411904E-2</v>
      </c>
      <c r="BN53" s="129">
        <f t="shared" si="54"/>
        <v>1417.5421785421781</v>
      </c>
      <c r="BP53" s="124">
        <f t="shared" si="53"/>
        <v>0.5315783169533167</v>
      </c>
    </row>
    <row r="54" spans="1:70" ht="15.95" customHeight="1" x14ac:dyDescent="0.25">
      <c r="B54" s="40" t="s">
        <v>9</v>
      </c>
      <c r="D54" s="97">
        <v>1250000</v>
      </c>
      <c r="E54" s="70"/>
      <c r="F54" s="71">
        <f t="shared" si="55"/>
        <v>300</v>
      </c>
      <c r="G54" s="70"/>
      <c r="H54" s="27">
        <f t="shared" si="56"/>
        <v>4166.666666666667</v>
      </c>
      <c r="I54" s="70"/>
      <c r="J54" s="78">
        <f t="shared" si="57"/>
        <v>2.7870680044593091E-2</v>
      </c>
      <c r="K54" s="36"/>
      <c r="L54" s="36"/>
      <c r="N54" s="120">
        <v>2112296</v>
      </c>
      <c r="O54" s="193"/>
      <c r="P54" s="24">
        <v>407</v>
      </c>
      <c r="Q54" s="193"/>
      <c r="R54" s="132">
        <f t="shared" si="58"/>
        <v>5189.9164619164621</v>
      </c>
      <c r="S54" s="132"/>
      <c r="T54" s="113">
        <f t="shared" si="59"/>
        <v>3.3650499007433457E-2</v>
      </c>
      <c r="U54" s="135"/>
      <c r="V54" s="129">
        <f t="shared" si="60"/>
        <v>1023.2497952497952</v>
      </c>
      <c r="W54" s="135"/>
      <c r="X54" s="124">
        <f t="shared" si="61"/>
        <v>0.24557995085995082</v>
      </c>
      <c r="Z54" s="3"/>
      <c r="AB54" s="97">
        <v>1600000</v>
      </c>
      <c r="AC54" s="132"/>
      <c r="AD54" s="71">
        <f t="shared" si="62"/>
        <v>300</v>
      </c>
      <c r="AE54" s="70"/>
      <c r="AF54" s="71">
        <f t="shared" si="63"/>
        <v>5333.333333333333</v>
      </c>
      <c r="AG54" s="70"/>
      <c r="AH54" s="78">
        <f t="shared" si="64"/>
        <v>3.4408602150537634E-2</v>
      </c>
      <c r="AI54" s="36"/>
      <c r="AJ54" s="36"/>
      <c r="AL54" s="184">
        <v>2170667</v>
      </c>
      <c r="AM54" s="203"/>
      <c r="AN54" s="21">
        <f t="shared" si="42"/>
        <v>407</v>
      </c>
      <c r="AO54" s="203"/>
      <c r="AP54" s="132">
        <f t="shared" si="65"/>
        <v>5333.3341523341523</v>
      </c>
      <c r="AQ54" s="21"/>
      <c r="AR54" s="113">
        <f t="shared" si="66"/>
        <v>2.2222225634725635E-2</v>
      </c>
      <c r="AT54" s="129">
        <f t="shared" si="45"/>
        <v>8.1900081931962632E-4</v>
      </c>
      <c r="AV54" s="124">
        <f t="shared" si="46"/>
        <v>1.5356265362242995E-7</v>
      </c>
      <c r="AY54" s="14"/>
      <c r="AZ54" s="69">
        <f t="shared" si="47"/>
        <v>2850000</v>
      </c>
      <c r="BA54" s="70"/>
      <c r="BB54" s="71">
        <f t="shared" si="48"/>
        <v>9500</v>
      </c>
      <c r="BC54" s="70"/>
      <c r="BD54" s="78">
        <f t="shared" si="67"/>
        <v>3.1198686371100164E-2</v>
      </c>
      <c r="BE54" s="36"/>
      <c r="BF54" s="36"/>
      <c r="BH54" s="9">
        <f t="shared" si="50"/>
        <v>4282963</v>
      </c>
      <c r="BI54" s="21"/>
      <c r="BJ54" s="9">
        <f t="shared" si="51"/>
        <v>10523.250614250614</v>
      </c>
      <c r="BK54" s="21"/>
      <c r="BL54" s="113">
        <f t="shared" si="52"/>
        <v>2.6693175593563691E-2</v>
      </c>
      <c r="BN54" s="129">
        <f t="shared" si="54"/>
        <v>1023.2506142506136</v>
      </c>
      <c r="BP54" s="124">
        <f t="shared" si="53"/>
        <v>0.1077105909737488</v>
      </c>
    </row>
    <row r="55" spans="1:70" ht="15.95" customHeight="1" x14ac:dyDescent="0.25">
      <c r="B55" s="57" t="s">
        <v>51</v>
      </c>
      <c r="D55" s="97">
        <v>3200000</v>
      </c>
      <c r="E55" s="70"/>
      <c r="F55" s="71">
        <f t="shared" si="55"/>
        <v>300</v>
      </c>
      <c r="G55" s="70"/>
      <c r="H55" s="27">
        <f t="shared" si="56"/>
        <v>10666.666666666666</v>
      </c>
      <c r="I55" s="70"/>
      <c r="J55" s="78">
        <f t="shared" si="57"/>
        <v>7.1348940914158304E-2</v>
      </c>
      <c r="K55" s="36"/>
      <c r="L55" s="36"/>
      <c r="N55" s="120">
        <v>5785702</v>
      </c>
      <c r="O55" s="193"/>
      <c r="P55" s="24">
        <v>407</v>
      </c>
      <c r="Q55" s="193"/>
      <c r="R55" s="132">
        <f t="shared" si="58"/>
        <v>14215.484029484029</v>
      </c>
      <c r="S55" s="132"/>
      <c r="T55" s="113">
        <f t="shared" si="59"/>
        <v>9.2170680344187433E-2</v>
      </c>
      <c r="U55" s="135"/>
      <c r="V55" s="129">
        <f t="shared" si="60"/>
        <v>3548.8173628173627</v>
      </c>
      <c r="W55" s="135"/>
      <c r="X55" s="124">
        <f t="shared" si="61"/>
        <v>0.33270162776412776</v>
      </c>
      <c r="Z55" s="3"/>
      <c r="AB55" s="97">
        <v>6700000</v>
      </c>
      <c r="AC55" s="132"/>
      <c r="AD55" s="71">
        <f t="shared" si="62"/>
        <v>300</v>
      </c>
      <c r="AE55" s="70"/>
      <c r="AF55" s="71">
        <f t="shared" si="63"/>
        <v>22333.333333333332</v>
      </c>
      <c r="AG55" s="70"/>
      <c r="AH55" s="78">
        <f t="shared" si="64"/>
        <v>0.14408602150537633</v>
      </c>
      <c r="AI55" s="36"/>
      <c r="AJ55" s="36"/>
      <c r="AL55" s="184">
        <v>9089667</v>
      </c>
      <c r="AM55" s="203"/>
      <c r="AN55" s="21">
        <f t="shared" si="42"/>
        <v>407</v>
      </c>
      <c r="AO55" s="203"/>
      <c r="AP55" s="132">
        <f t="shared" si="65"/>
        <v>22333.334152334151</v>
      </c>
      <c r="AQ55" s="21"/>
      <c r="AR55" s="113">
        <f t="shared" si="66"/>
        <v>9.3055558968058963E-2</v>
      </c>
      <c r="AT55" s="129">
        <f t="shared" si="45"/>
        <v>8.1900081931962632E-4</v>
      </c>
      <c r="AV55" s="124">
        <f t="shared" si="46"/>
        <v>3.6671678476998196E-8</v>
      </c>
      <c r="AY55" s="14"/>
      <c r="AZ55" s="69">
        <f t="shared" si="47"/>
        <v>9900000</v>
      </c>
      <c r="BA55" s="70"/>
      <c r="BB55" s="71">
        <f t="shared" si="48"/>
        <v>33000</v>
      </c>
      <c r="BC55" s="70"/>
      <c r="BD55" s="78">
        <f t="shared" si="67"/>
        <v>0.10837438423645321</v>
      </c>
      <c r="BE55" s="36"/>
      <c r="BF55" s="36"/>
      <c r="BH55" s="9">
        <f t="shared" si="50"/>
        <v>14875369</v>
      </c>
      <c r="BI55" s="21"/>
      <c r="BJ55" s="9">
        <f t="shared" si="51"/>
        <v>36548.818181818177</v>
      </c>
      <c r="BK55" s="21"/>
      <c r="BL55" s="113">
        <f t="shared" si="52"/>
        <v>9.2709378235593887E-2</v>
      </c>
      <c r="BN55" s="129">
        <f t="shared" si="54"/>
        <v>3548.8181818181765</v>
      </c>
      <c r="BP55" s="124">
        <f t="shared" si="53"/>
        <v>0.10753994490358111</v>
      </c>
    </row>
    <row r="56" spans="1:70" ht="15.95" customHeight="1" thickBot="1" x14ac:dyDescent="0.3">
      <c r="B56" s="199" t="s">
        <v>98</v>
      </c>
      <c r="D56" s="72">
        <f>SUM(D50:D55)</f>
        <v>9850000</v>
      </c>
      <c r="E56" s="21"/>
      <c r="F56" s="21"/>
      <c r="G56" s="21"/>
      <c r="H56" s="28">
        <f>SUM(H50:H55)</f>
        <v>32833.333333333336</v>
      </c>
      <c r="I56" s="27"/>
      <c r="J56" s="73">
        <f>SUM(J50:J55)</f>
        <v>0.21962095875139354</v>
      </c>
      <c r="K56" s="37"/>
      <c r="L56" s="52">
        <f>H56/H$118</f>
        <v>0.17438347538169893</v>
      </c>
      <c r="N56" s="136">
        <f>SUM(N50:N55)</f>
        <v>13351962</v>
      </c>
      <c r="O56" s="132"/>
      <c r="P56" s="21"/>
      <c r="Q56" s="132"/>
      <c r="R56" s="136">
        <f>SUM(R50:R55)</f>
        <v>32805.803439803436</v>
      </c>
      <c r="S56" s="27"/>
      <c r="T56" s="116">
        <f>SUM(T50:T55)</f>
        <v>0.21270701834794425</v>
      </c>
      <c r="V56" s="121">
        <f>SUM(V50:V55)</f>
        <v>-27.529893529895162</v>
      </c>
      <c r="X56" s="125">
        <f>V56/H56</f>
        <v>-8.3847391461609625E-4</v>
      </c>
      <c r="Z56" s="3"/>
      <c r="AB56" s="72">
        <f>SUM(AB40:AB55)</f>
        <v>25220000.190219574</v>
      </c>
      <c r="AC56" s="132"/>
      <c r="AD56" s="21"/>
      <c r="AE56" s="21"/>
      <c r="AF56" s="136">
        <f>SUM(AF40:AF55)</f>
        <v>84066.667300731904</v>
      </c>
      <c r="AG56" s="27"/>
      <c r="AH56" s="73">
        <f>SUM(AH40:AH55)</f>
        <v>0.54236559548859298</v>
      </c>
      <c r="AI56" s="37"/>
      <c r="AJ56" s="52">
        <f>AF56/AF$118</f>
        <v>0.3146786300467565</v>
      </c>
      <c r="AL56" s="28">
        <f>SUM(AL40:AL55)</f>
        <v>35951530</v>
      </c>
      <c r="AM56" s="132"/>
      <c r="AN56" s="21"/>
      <c r="AO56" s="132"/>
      <c r="AP56" s="136">
        <f>SUM(AP40:AP55)</f>
        <v>88332.997542997546</v>
      </c>
      <c r="AQ56" s="27"/>
      <c r="AR56" s="116">
        <f>SUM(AR40:AR55)</f>
        <v>0.36805415642915645</v>
      </c>
      <c r="AT56" s="121">
        <f>SUM(AT40:AT55)</f>
        <v>4266.3302422656252</v>
      </c>
      <c r="AV56" s="125">
        <f>IF(COUNT(AL40:AL55)=16,((AP56-AF56)/AF56),"")</f>
        <v>5.074936808192583E-2</v>
      </c>
      <c r="AY56" s="14"/>
      <c r="AZ56" s="72">
        <f>SUM(AZ40:AZ55)</f>
        <v>35070000.190219574</v>
      </c>
      <c r="BA56" s="21"/>
      <c r="BB56" s="28">
        <f>SUM(BB40:BB55)</f>
        <v>116900.00063406525</v>
      </c>
      <c r="BC56" s="27"/>
      <c r="BD56" s="73">
        <f>SUM(BD40:BD55)</f>
        <v>0.38390804805932766</v>
      </c>
      <c r="BE56" s="37"/>
      <c r="BF56" s="52">
        <f>BB56/BB$118</f>
        <v>0.25784157572925887</v>
      </c>
      <c r="BH56" s="134">
        <f>SUM(BH40:BH55)</f>
        <v>49303492</v>
      </c>
      <c r="BI56" s="21"/>
      <c r="BJ56" s="28">
        <f>SUM(BJ40:BJ55)</f>
        <v>121138.80098280098</v>
      </c>
      <c r="BK56" s="27"/>
      <c r="BL56" s="116">
        <f>SUM(BL40:BL55)</f>
        <v>0.30727950937980608</v>
      </c>
      <c r="BN56" s="121">
        <f>SUM(BN40:BN55)</f>
        <v>4238.8003487357255</v>
      </c>
      <c r="BP56" s="125">
        <f>IF(COUNT(BH40:BH55)=16,((BJ56-BB56)/BB56),"")</f>
        <v>3.6260054112442208E-2</v>
      </c>
    </row>
    <row r="57" spans="1:70" s="135" customFormat="1" ht="15.95" customHeight="1" x14ac:dyDescent="0.25">
      <c r="B57" s="10"/>
      <c r="D57" s="169"/>
      <c r="E57" s="21"/>
      <c r="F57" s="21"/>
      <c r="G57" s="21"/>
      <c r="H57" s="27"/>
      <c r="I57" s="27"/>
      <c r="J57" s="75"/>
      <c r="K57" s="37"/>
      <c r="L57" s="52"/>
      <c r="N57" s="27"/>
      <c r="O57" s="132"/>
      <c r="P57" s="21"/>
      <c r="Q57" s="132"/>
      <c r="R57" s="132"/>
      <c r="S57" s="132"/>
      <c r="T57" s="170"/>
      <c r="V57" s="171"/>
      <c r="X57" s="172"/>
      <c r="AB57" s="169"/>
      <c r="AC57" s="132"/>
      <c r="AD57" s="21"/>
      <c r="AE57" s="21"/>
      <c r="AF57" s="27"/>
      <c r="AG57" s="27"/>
      <c r="AH57" s="75"/>
      <c r="AI57" s="37"/>
      <c r="AJ57" s="52"/>
      <c r="AL57" s="27"/>
      <c r="AM57" s="132"/>
      <c r="AN57" s="21"/>
      <c r="AO57" s="132"/>
      <c r="AP57" s="27"/>
      <c r="AQ57" s="27"/>
      <c r="AR57" s="170"/>
      <c r="AT57" s="171"/>
      <c r="AV57" s="172"/>
      <c r="AZ57" s="169"/>
      <c r="BA57" s="21"/>
      <c r="BB57" s="27"/>
      <c r="BC57" s="27"/>
      <c r="BD57" s="75"/>
      <c r="BE57" s="37"/>
      <c r="BF57" s="52"/>
      <c r="BH57" s="132"/>
      <c r="BI57" s="21"/>
      <c r="BJ57" s="27"/>
      <c r="BK57" s="27"/>
      <c r="BL57" s="170"/>
      <c r="BP57" s="172"/>
    </row>
    <row r="58" spans="1:70" s="135" customFormat="1" ht="15.95" customHeight="1" thickBot="1" x14ac:dyDescent="0.3">
      <c r="B58" s="48" t="s">
        <v>99</v>
      </c>
      <c r="D58" s="72">
        <f>D56+D37</f>
        <v>25306057.18</v>
      </c>
      <c r="E58" s="21"/>
      <c r="F58" s="21"/>
      <c r="G58" s="21"/>
      <c r="H58" s="136">
        <f>H56+H37</f>
        <v>84023.973415233428</v>
      </c>
      <c r="I58" s="27"/>
      <c r="J58" s="173">
        <f>J56+J37</f>
        <v>0.56203326699152778</v>
      </c>
      <c r="K58" s="37"/>
      <c r="L58" s="52"/>
      <c r="N58" s="136">
        <f>N56+N37</f>
        <v>52906733</v>
      </c>
      <c r="O58" s="132"/>
      <c r="P58" s="21"/>
      <c r="Q58" s="132"/>
      <c r="R58" s="136">
        <f>R56+R37</f>
        <v>129991.97297297297</v>
      </c>
      <c r="S58" s="27"/>
      <c r="T58" s="116">
        <f>T56+T37</f>
        <v>0.84284492623337204</v>
      </c>
      <c r="V58" s="121">
        <f>V56+V37</f>
        <v>45967.999557739553</v>
      </c>
      <c r="X58" s="125">
        <f>V58/H58</f>
        <v>0.54708195398678472</v>
      </c>
      <c r="AB58" s="72">
        <f>AB56+AB37</f>
        <v>30600000</v>
      </c>
      <c r="AC58" s="132"/>
      <c r="AD58" s="21"/>
      <c r="AE58" s="21"/>
      <c r="AF58" s="136">
        <f>AF56+AF37</f>
        <v>101999.99999999999</v>
      </c>
      <c r="AG58" s="27"/>
      <c r="AH58" s="173">
        <f>AH56+AH37</f>
        <v>0.65806451612903227</v>
      </c>
      <c r="AI58" s="37"/>
      <c r="AJ58" s="52"/>
      <c r="AL58" s="136">
        <f>AL56+AL37</f>
        <v>46246668</v>
      </c>
      <c r="AM58" s="132"/>
      <c r="AN58" s="21"/>
      <c r="AO58" s="132"/>
      <c r="AP58" s="136">
        <f>AP56+AP37</f>
        <v>113628.17690417691</v>
      </c>
      <c r="AQ58" s="27"/>
      <c r="AR58" s="157">
        <f>AR56+AR37</f>
        <v>0.47345073710073715</v>
      </c>
      <c r="AT58" s="121">
        <f>AT56+AT37</f>
        <v>11628.176904176906</v>
      </c>
      <c r="AV58" s="125">
        <f>IF(AL58=0,"",((AP58-AF58)/AF58))</f>
        <v>0.1140017343546758</v>
      </c>
      <c r="AZ58" s="72">
        <f>AZ56+AZ37</f>
        <v>55906057.18</v>
      </c>
      <c r="BA58" s="21"/>
      <c r="BB58" s="136">
        <f>BB56+BB37</f>
        <v>186023.97341523343</v>
      </c>
      <c r="BC58" s="27"/>
      <c r="BD58" s="173">
        <f>BD56+BD37</f>
        <v>0.61091616885134137</v>
      </c>
      <c r="BE58" s="37"/>
      <c r="BF58" s="52"/>
      <c r="BH58" s="136">
        <f>BH56+BH37</f>
        <v>99153401</v>
      </c>
      <c r="BI58" s="21"/>
      <c r="BJ58" s="136">
        <f>BJ56+BJ37</f>
        <v>243620.14987714987</v>
      </c>
      <c r="BK58" s="27"/>
      <c r="BL58" s="157">
        <f>BL56+BL37</f>
        <v>0.61796451278986853</v>
      </c>
      <c r="BN58" s="121">
        <f>BN56+BN37</f>
        <v>57596.176461916461</v>
      </c>
      <c r="BO58" s="171"/>
      <c r="BP58" s="125">
        <f>IF(BH58=0,"",((BJ58-BB58)/BB58))</f>
        <v>0.30961695637665548</v>
      </c>
      <c r="BR58" s="172"/>
    </row>
    <row r="59" spans="1:70" s="135" customFormat="1" ht="15.95" customHeight="1" x14ac:dyDescent="0.25">
      <c r="B59" s="10"/>
      <c r="D59" s="169"/>
      <c r="E59" s="21"/>
      <c r="F59" s="21"/>
      <c r="G59" s="21"/>
      <c r="H59" s="27"/>
      <c r="I59" s="27"/>
      <c r="J59" s="185"/>
      <c r="K59" s="37"/>
      <c r="L59" s="52"/>
      <c r="N59" s="27"/>
      <c r="O59" s="132"/>
      <c r="P59" s="21"/>
      <c r="Q59" s="132"/>
      <c r="R59" s="132"/>
      <c r="S59" s="132"/>
      <c r="T59" s="170"/>
      <c r="V59" s="171"/>
      <c r="X59" s="172"/>
      <c r="AB59" s="169"/>
      <c r="AC59" s="132"/>
      <c r="AD59" s="21"/>
      <c r="AE59" s="21"/>
      <c r="AF59" s="27"/>
      <c r="AG59" s="27"/>
      <c r="AH59" s="185"/>
      <c r="AI59" s="37"/>
      <c r="AJ59" s="52"/>
      <c r="AL59" s="27"/>
      <c r="AM59" s="132"/>
      <c r="AN59" s="21"/>
      <c r="AO59" s="132"/>
      <c r="AP59" s="27"/>
      <c r="AQ59" s="27"/>
      <c r="AR59" s="37"/>
      <c r="AT59" s="171"/>
      <c r="AV59" s="172"/>
      <c r="AZ59" s="169"/>
      <c r="BA59" s="21"/>
      <c r="BB59" s="27"/>
      <c r="BC59" s="27"/>
      <c r="BD59" s="185"/>
      <c r="BE59" s="37"/>
      <c r="BF59" s="52"/>
      <c r="BH59" s="27"/>
      <c r="BI59" s="21"/>
      <c r="BJ59" s="27"/>
      <c r="BK59" s="27"/>
      <c r="BL59" s="37"/>
      <c r="BN59" s="171"/>
      <c r="BO59" s="171"/>
      <c r="BP59" s="172"/>
      <c r="BR59" s="172"/>
    </row>
    <row r="60" spans="1:70" s="135" customFormat="1" ht="15.95" customHeight="1" thickBot="1" x14ac:dyDescent="0.3">
      <c r="B60" s="198" t="s">
        <v>100</v>
      </c>
      <c r="D60" s="72">
        <f>D58+D21</f>
        <v>37798657.18</v>
      </c>
      <c r="E60" s="21"/>
      <c r="F60" s="21"/>
      <c r="G60" s="21"/>
      <c r="H60" s="136">
        <f>H58+H21</f>
        <v>125665.97341523343</v>
      </c>
      <c r="I60" s="27"/>
      <c r="J60" s="173">
        <f>J58+J21</f>
        <v>0.84057507301159462</v>
      </c>
      <c r="K60" s="37"/>
      <c r="L60" s="52"/>
      <c r="N60" s="136">
        <f>N58+N21</f>
        <v>65399333</v>
      </c>
      <c r="O60" s="132"/>
      <c r="P60" s="21"/>
      <c r="Q60" s="132"/>
      <c r="R60" s="136">
        <f>R58+R21</f>
        <v>173191.97297297296</v>
      </c>
      <c r="S60" s="27"/>
      <c r="T60" s="116">
        <f>T58+T21</f>
        <v>1.1229460738700185</v>
      </c>
      <c r="V60" s="121">
        <f>V58+V21</f>
        <v>47525.999557739553</v>
      </c>
      <c r="X60" s="125">
        <f>V60/H60</f>
        <v>0.37819306424899246</v>
      </c>
      <c r="AB60" s="72">
        <f>AB58+AB21</f>
        <v>53925300</v>
      </c>
      <c r="AC60" s="21"/>
      <c r="AD60" s="21"/>
      <c r="AE60" s="21"/>
      <c r="AF60" s="136">
        <f>AF58+AF21</f>
        <v>179751</v>
      </c>
      <c r="AG60" s="27"/>
      <c r="AH60" s="173">
        <f>AH58+AH21</f>
        <v>1.1596838709677419</v>
      </c>
      <c r="AI60" s="37"/>
      <c r="AJ60" s="52"/>
      <c r="AL60" s="136">
        <f>AL58+AL21</f>
        <v>69104568</v>
      </c>
      <c r="AM60" s="132"/>
      <c r="AN60" s="21"/>
      <c r="AO60" s="132"/>
      <c r="AP60" s="136">
        <f>AP58+AP21</f>
        <v>189821.17690417691</v>
      </c>
      <c r="AQ60" s="27"/>
      <c r="AR60" s="116">
        <f>AR58+AR21</f>
        <v>0.79092157043407041</v>
      </c>
      <c r="AT60" s="121">
        <f>AT58+AT21</f>
        <v>10070.176904176906</v>
      </c>
      <c r="AV60" s="125">
        <f>(AP60-AF60)/AF60</f>
        <v>5.6022925625876435E-2</v>
      </c>
      <c r="AZ60" s="72">
        <f>AZ58+AZ21</f>
        <v>91723957.180000007</v>
      </c>
      <c r="BA60" s="21"/>
      <c r="BB60" s="136">
        <f>BB58+BB21</f>
        <v>305416.97341523343</v>
      </c>
      <c r="BC60" s="27"/>
      <c r="BD60" s="173">
        <f>BD58+BD21</f>
        <v>1.0030114069465794</v>
      </c>
      <c r="BE60" s="37"/>
      <c r="BF60" s="52"/>
      <c r="BH60" s="136">
        <f>BH58+BH21</f>
        <v>134503901</v>
      </c>
      <c r="BI60" s="21"/>
      <c r="BJ60" s="136">
        <f>BJ58+BJ21</f>
        <v>363013.14987714984</v>
      </c>
      <c r="BK60" s="27"/>
      <c r="BL60" s="116">
        <f>BL58+BL21</f>
        <v>0.92081564030426366</v>
      </c>
      <c r="BN60" s="121">
        <f>BN58+BN21</f>
        <v>57596.176461916461</v>
      </c>
      <c r="BP60" s="125">
        <f>(BJ60-BB60)/BB60</f>
        <v>0.18858210733301592</v>
      </c>
      <c r="BR60" s="172"/>
    </row>
    <row r="61" spans="1:70" s="20" customFormat="1" ht="15.95" customHeight="1" x14ac:dyDescent="0.25">
      <c r="B61" s="10"/>
      <c r="D61" s="74"/>
      <c r="E61" s="37"/>
      <c r="F61" s="37"/>
      <c r="G61" s="37"/>
      <c r="H61" s="37"/>
      <c r="I61" s="37"/>
      <c r="J61" s="75"/>
      <c r="K61" s="37"/>
      <c r="L61" s="39"/>
      <c r="N61" s="71"/>
      <c r="O61" s="93"/>
      <c r="P61" s="21"/>
      <c r="Q61" s="93"/>
      <c r="R61" s="194"/>
      <c r="S61" s="194"/>
      <c r="T61" s="117"/>
      <c r="V61" s="128"/>
      <c r="X61" s="126"/>
      <c r="AB61" s="74"/>
      <c r="AC61" s="159"/>
      <c r="AD61" s="37"/>
      <c r="AE61" s="37"/>
      <c r="AF61" s="37"/>
      <c r="AG61" s="37"/>
      <c r="AH61" s="75"/>
      <c r="AI61" s="37"/>
      <c r="AJ61" s="39"/>
      <c r="AL61" s="71"/>
      <c r="AM61" s="93"/>
      <c r="AN61" s="21"/>
      <c r="AO61" s="93"/>
      <c r="AP61" s="71"/>
      <c r="AQ61" s="21"/>
      <c r="AR61" s="117"/>
      <c r="AT61" s="128"/>
      <c r="AV61" s="126"/>
      <c r="AZ61" s="74"/>
      <c r="BA61" s="37"/>
      <c r="BB61" s="37"/>
      <c r="BC61" s="37"/>
      <c r="BD61" s="75"/>
      <c r="BE61" s="37"/>
      <c r="BF61" s="39"/>
      <c r="BH61" s="93"/>
      <c r="BI61" s="21"/>
      <c r="BJ61" s="71"/>
      <c r="BK61" s="21"/>
      <c r="BL61" s="117"/>
      <c r="BN61" s="135"/>
      <c r="BO61" s="135"/>
      <c r="BP61" s="126"/>
    </row>
    <row r="62" spans="1:70" s="5" customFormat="1" ht="15.95" customHeight="1" x14ac:dyDescent="0.25">
      <c r="A62" s="25"/>
      <c r="B62" s="46" t="s">
        <v>17</v>
      </c>
      <c r="D62" s="79"/>
      <c r="E62" s="26"/>
      <c r="F62" s="26"/>
      <c r="G62" s="26"/>
      <c r="H62" s="26"/>
      <c r="I62" s="26"/>
      <c r="J62" s="80"/>
      <c r="K62" s="25"/>
      <c r="L62" s="25"/>
      <c r="N62" s="93"/>
      <c r="O62" s="93"/>
      <c r="P62" s="26"/>
      <c r="Q62" s="93"/>
      <c r="R62" s="93"/>
      <c r="S62" s="93"/>
      <c r="T62" s="118"/>
      <c r="U62" s="25"/>
      <c r="V62" s="130"/>
      <c r="X62" s="127"/>
      <c r="Y62" s="25"/>
      <c r="AB62" s="79"/>
      <c r="AC62" s="26"/>
      <c r="AD62" s="26"/>
      <c r="AE62" s="26"/>
      <c r="AF62" s="26"/>
      <c r="AG62" s="26"/>
      <c r="AH62" s="80"/>
      <c r="AI62" s="25"/>
      <c r="AJ62" s="25"/>
      <c r="AK62" s="25"/>
      <c r="AL62" s="93"/>
      <c r="AM62" s="93"/>
      <c r="AN62" s="26"/>
      <c r="AO62" s="93"/>
      <c r="AP62" s="93"/>
      <c r="AQ62" s="26"/>
      <c r="AR62" s="118"/>
      <c r="AS62" s="25"/>
      <c r="AT62" s="130"/>
      <c r="AU62" s="25"/>
      <c r="AV62" s="127"/>
      <c r="AW62" s="25"/>
      <c r="AX62" s="25"/>
      <c r="AY62" s="16"/>
      <c r="AZ62" s="79"/>
      <c r="BA62" s="26"/>
      <c r="BB62" s="26"/>
      <c r="BC62" s="26"/>
      <c r="BD62" s="80"/>
      <c r="BE62" s="25"/>
      <c r="BF62" s="25"/>
      <c r="BG62" s="25"/>
      <c r="BH62" s="93"/>
      <c r="BI62" s="26"/>
      <c r="BJ62" s="93"/>
      <c r="BK62" s="26"/>
      <c r="BL62" s="118"/>
      <c r="BM62" s="25"/>
      <c r="BN62" s="25"/>
      <c r="BO62" s="25"/>
      <c r="BP62" s="127"/>
      <c r="BQ62" s="25"/>
    </row>
    <row r="63" spans="1:70" s="26" customFormat="1" ht="15.95" customHeight="1" x14ac:dyDescent="0.25">
      <c r="B63" s="41"/>
      <c r="D63" s="155"/>
      <c r="E63" s="70"/>
      <c r="F63" s="70"/>
      <c r="G63" s="70"/>
      <c r="H63" s="71"/>
      <c r="I63" s="70"/>
      <c r="J63" s="78"/>
      <c r="K63" s="36"/>
      <c r="L63" s="36"/>
      <c r="N63" s="132"/>
      <c r="O63" s="132"/>
      <c r="Q63" s="132"/>
      <c r="R63" s="132"/>
      <c r="S63" s="132"/>
      <c r="T63" s="113"/>
      <c r="U63" s="135"/>
      <c r="V63" s="129"/>
      <c r="W63" s="135"/>
      <c r="X63" s="124"/>
      <c r="AB63" s="155"/>
      <c r="AC63" s="132"/>
      <c r="AD63" s="70"/>
      <c r="AE63" s="70"/>
      <c r="AF63" s="71"/>
      <c r="AG63" s="70"/>
      <c r="AH63" s="78"/>
      <c r="AI63" s="36"/>
      <c r="AJ63" s="36"/>
      <c r="AL63" s="132"/>
      <c r="AM63" s="132"/>
      <c r="AO63" s="132"/>
      <c r="AP63" s="93"/>
      <c r="AQ63" s="21"/>
      <c r="AR63" s="113"/>
      <c r="AS63" s="135"/>
      <c r="AT63" s="129"/>
      <c r="AU63" s="135"/>
      <c r="AV63" s="124"/>
      <c r="AZ63" s="69"/>
      <c r="BA63" s="70"/>
      <c r="BB63" s="71"/>
      <c r="BC63" s="70"/>
      <c r="BD63" s="78"/>
      <c r="BE63" s="36"/>
      <c r="BF63" s="36"/>
      <c r="BH63" s="132"/>
      <c r="BJ63" s="93"/>
      <c r="BK63" s="21"/>
      <c r="BL63" s="113"/>
      <c r="BM63" s="135"/>
      <c r="BN63" s="135"/>
      <c r="BO63" s="135"/>
      <c r="BP63" s="124"/>
    </row>
    <row r="64" spans="1:70" s="26" customFormat="1" ht="15.95" customHeight="1" x14ac:dyDescent="0.25">
      <c r="B64" s="144" t="s">
        <v>56</v>
      </c>
      <c r="D64" s="155"/>
      <c r="E64" s="70"/>
      <c r="F64" s="70"/>
      <c r="G64" s="70"/>
      <c r="H64" s="71"/>
      <c r="I64" s="70"/>
      <c r="J64" s="78"/>
      <c r="K64" s="36"/>
      <c r="L64" s="36"/>
      <c r="N64" s="132"/>
      <c r="O64" s="132"/>
      <c r="Q64" s="132"/>
      <c r="R64" s="132"/>
      <c r="S64" s="132"/>
      <c r="T64" s="113"/>
      <c r="U64" s="135"/>
      <c r="V64" s="129"/>
      <c r="W64" s="135"/>
      <c r="X64" s="124"/>
      <c r="AB64" s="155"/>
      <c r="AC64" s="132"/>
      <c r="AD64" s="70"/>
      <c r="AE64" s="70"/>
      <c r="AF64" s="71"/>
      <c r="AG64" s="70"/>
      <c r="AH64" s="78"/>
      <c r="AI64" s="36"/>
      <c r="AJ64" s="36"/>
      <c r="AL64" s="132"/>
      <c r="AM64" s="132"/>
      <c r="AO64" s="132"/>
      <c r="AP64" s="93"/>
      <c r="AQ64" s="21"/>
      <c r="AR64" s="113"/>
      <c r="AS64" s="135"/>
      <c r="AT64" s="129"/>
      <c r="AU64" s="135"/>
      <c r="AV64" s="124"/>
      <c r="AZ64" s="69"/>
      <c r="BA64" s="70"/>
      <c r="BB64" s="71"/>
      <c r="BC64" s="70"/>
      <c r="BD64" s="78"/>
      <c r="BE64" s="36"/>
      <c r="BF64" s="36"/>
      <c r="BH64" s="132"/>
      <c r="BJ64" s="93"/>
      <c r="BK64" s="21"/>
      <c r="BL64" s="113"/>
      <c r="BM64" s="135"/>
      <c r="BN64" s="135"/>
      <c r="BO64" s="135"/>
      <c r="BP64" s="124"/>
    </row>
    <row r="65" spans="2:70" s="26" customFormat="1" ht="15.95" customHeight="1" x14ac:dyDescent="0.25">
      <c r="B65" s="143" t="s">
        <v>57</v>
      </c>
      <c r="D65" s="152">
        <v>412500</v>
      </c>
      <c r="E65" s="70"/>
      <c r="F65" s="71">
        <f>$H$6</f>
        <v>340</v>
      </c>
      <c r="G65" s="70"/>
      <c r="H65" s="27">
        <f t="shared" ref="H65:H69" si="68">D65/F65</f>
        <v>1213.2352941176471</v>
      </c>
      <c r="I65" s="70"/>
      <c r="J65" s="78">
        <f t="shared" ref="J65:J69" si="69">H65/$H$10</f>
        <v>8.1152862482785759E-3</v>
      </c>
      <c r="K65" s="36"/>
      <c r="L65" s="36"/>
      <c r="N65" s="132"/>
      <c r="O65" s="132"/>
      <c r="Q65" s="132"/>
      <c r="R65" s="132"/>
      <c r="S65" s="132"/>
      <c r="T65" s="113"/>
      <c r="U65" s="135"/>
      <c r="V65" s="129"/>
      <c r="W65" s="135"/>
      <c r="X65" s="124"/>
      <c r="AB65" s="97">
        <v>693000</v>
      </c>
      <c r="AC65" s="132"/>
      <c r="AD65" s="71">
        <f t="shared" ref="AD65:AD69" si="70">$AF$6</f>
        <v>340</v>
      </c>
      <c r="AE65" s="70"/>
      <c r="AF65" s="71">
        <f t="shared" ref="AF65:AF69" si="71">AB65/AD65</f>
        <v>2038.2352941176471</v>
      </c>
      <c r="AG65" s="70"/>
      <c r="AH65" s="140">
        <f t="shared" ref="AH65:AH69" si="72">AF65/$H$10</f>
        <v>1.3633680897108006E-2</v>
      </c>
      <c r="AI65" s="36"/>
      <c r="AJ65" s="36"/>
      <c r="AL65" s="96"/>
      <c r="AM65" s="132"/>
      <c r="AO65" s="132"/>
      <c r="AP65" s="96"/>
      <c r="AQ65" s="21"/>
      <c r="AR65" s="113" t="str">
        <f t="shared" ref="AR65:AR69" si="73">IF(AP65="","",AP65/AP$10)</f>
        <v/>
      </c>
      <c r="AS65" s="135"/>
      <c r="AT65" s="129" t="str">
        <f t="shared" ref="AT65:AT69" si="74">IF(AP65="","",AP65-AF65)</f>
        <v/>
      </c>
      <c r="AU65" s="135"/>
      <c r="AV65" s="124" t="str">
        <f t="shared" ref="AV65:AV69" si="75">IF(AP65=0,"",((AP65-AF65)/AF65))</f>
        <v/>
      </c>
      <c r="AZ65" s="69">
        <f>AB65+D65</f>
        <v>1105500</v>
      </c>
      <c r="BA65" s="70"/>
      <c r="BB65" s="71">
        <f>AF65+H65</f>
        <v>3251.4705882352941</v>
      </c>
      <c r="BC65" s="70"/>
      <c r="BD65" s="78">
        <f t="shared" ref="BD65:BD69" si="76">BB65/$BB$10</f>
        <v>1.0678064329179948E-2</v>
      </c>
      <c r="BE65" s="36"/>
      <c r="BF65" s="36"/>
      <c r="BH65" s="9">
        <f t="shared" ref="BH65:BH69" si="77">AL65+N65</f>
        <v>0</v>
      </c>
      <c r="BI65" s="21"/>
      <c r="BJ65" s="9">
        <f t="shared" ref="BJ65:BJ69" si="78">AP65+R65</f>
        <v>0</v>
      </c>
      <c r="BK65" s="21"/>
      <c r="BL65" s="113">
        <f t="shared" ref="BL65:BL70" si="79">BJ65/$BJ$10</f>
        <v>0</v>
      </c>
      <c r="BM65" s="135"/>
      <c r="BN65" s="129"/>
      <c r="BO65" s="135"/>
      <c r="BP65" s="124"/>
    </row>
    <row r="66" spans="2:70" s="26" customFormat="1" ht="15.95" customHeight="1" x14ac:dyDescent="0.25">
      <c r="B66" s="143" t="s">
        <v>59</v>
      </c>
      <c r="D66" s="152">
        <v>9800</v>
      </c>
      <c r="E66" s="70"/>
      <c r="F66" s="71">
        <f>$H$6</f>
        <v>340</v>
      </c>
      <c r="G66" s="70"/>
      <c r="H66" s="27">
        <f t="shared" si="68"/>
        <v>28.823529411764707</v>
      </c>
      <c r="I66" s="70"/>
      <c r="J66" s="78">
        <f t="shared" si="69"/>
        <v>1.9279952783789103E-4</v>
      </c>
      <c r="K66" s="36"/>
      <c r="L66" s="36"/>
      <c r="N66" s="132"/>
      <c r="O66" s="132"/>
      <c r="Q66" s="132"/>
      <c r="R66" s="132"/>
      <c r="S66" s="132"/>
      <c r="T66" s="113"/>
      <c r="U66" s="135"/>
      <c r="V66" s="129"/>
      <c r="W66" s="135"/>
      <c r="X66" s="124"/>
      <c r="AB66" s="97">
        <v>14000</v>
      </c>
      <c r="AC66" s="132"/>
      <c r="AD66" s="71">
        <f t="shared" si="70"/>
        <v>340</v>
      </c>
      <c r="AE66" s="70"/>
      <c r="AF66" s="71">
        <f t="shared" si="71"/>
        <v>41.176470588235297</v>
      </c>
      <c r="AG66" s="70"/>
      <c r="AH66" s="140">
        <f t="shared" si="72"/>
        <v>2.7542789691127286E-4</v>
      </c>
      <c r="AI66" s="36"/>
      <c r="AJ66" s="36"/>
      <c r="AL66" s="96"/>
      <c r="AM66" s="132"/>
      <c r="AO66" s="132"/>
      <c r="AP66" s="96"/>
      <c r="AQ66" s="21"/>
      <c r="AR66" s="113" t="str">
        <f t="shared" si="73"/>
        <v/>
      </c>
      <c r="AS66" s="135"/>
      <c r="AT66" s="129" t="str">
        <f t="shared" si="74"/>
        <v/>
      </c>
      <c r="AU66" s="135"/>
      <c r="AV66" s="124" t="str">
        <f t="shared" si="75"/>
        <v/>
      </c>
      <c r="AZ66" s="69">
        <f>AB66+D66</f>
        <v>23800</v>
      </c>
      <c r="BA66" s="70"/>
      <c r="BB66" s="71">
        <f>AF66+H66</f>
        <v>70</v>
      </c>
      <c r="BC66" s="70"/>
      <c r="BD66" s="78">
        <f t="shared" si="76"/>
        <v>2.2988505747126436E-4</v>
      </c>
      <c r="BE66" s="36"/>
      <c r="BF66" s="36"/>
      <c r="BH66" s="9">
        <f t="shared" si="77"/>
        <v>0</v>
      </c>
      <c r="BI66" s="21"/>
      <c r="BJ66" s="9">
        <f t="shared" si="78"/>
        <v>0</v>
      </c>
      <c r="BK66" s="21"/>
      <c r="BL66" s="113">
        <f t="shared" si="79"/>
        <v>0</v>
      </c>
      <c r="BM66" s="135"/>
      <c r="BN66" s="129"/>
      <c r="BO66" s="135"/>
      <c r="BP66" s="124"/>
    </row>
    <row r="67" spans="2:70" s="26" customFormat="1" ht="15.95" customHeight="1" x14ac:dyDescent="0.25">
      <c r="B67" s="143" t="s">
        <v>60</v>
      </c>
      <c r="D67" s="152">
        <v>182000</v>
      </c>
      <c r="E67" s="70"/>
      <c r="F67" s="71">
        <f>$H$6</f>
        <v>340</v>
      </c>
      <c r="G67" s="70"/>
      <c r="H67" s="27">
        <f t="shared" si="68"/>
        <v>535.29411764705878</v>
      </c>
      <c r="I67" s="70"/>
      <c r="J67" s="78">
        <f t="shared" si="69"/>
        <v>3.580562659846547E-3</v>
      </c>
      <c r="K67" s="36"/>
      <c r="L67" s="36"/>
      <c r="N67" s="132"/>
      <c r="O67" s="132"/>
      <c r="Q67" s="132"/>
      <c r="R67" s="132"/>
      <c r="S67" s="132"/>
      <c r="T67" s="113"/>
      <c r="U67" s="135"/>
      <c r="V67" s="129"/>
      <c r="W67" s="135"/>
      <c r="X67" s="124"/>
      <c r="AB67" s="97">
        <v>312000</v>
      </c>
      <c r="AC67" s="132"/>
      <c r="AD67" s="71">
        <f t="shared" si="70"/>
        <v>340</v>
      </c>
      <c r="AE67" s="70"/>
      <c r="AF67" s="71">
        <f t="shared" si="71"/>
        <v>917.64705882352939</v>
      </c>
      <c r="AG67" s="70"/>
      <c r="AH67" s="140">
        <f t="shared" si="72"/>
        <v>6.1381074168797949E-3</v>
      </c>
      <c r="AI67" s="36"/>
      <c r="AJ67" s="36"/>
      <c r="AL67" s="96"/>
      <c r="AM67" s="132"/>
      <c r="AO67" s="132"/>
      <c r="AP67" s="96"/>
      <c r="AQ67" s="21"/>
      <c r="AR67" s="113" t="str">
        <f t="shared" si="73"/>
        <v/>
      </c>
      <c r="AS67" s="135"/>
      <c r="AT67" s="129" t="str">
        <f t="shared" si="74"/>
        <v/>
      </c>
      <c r="AU67" s="135"/>
      <c r="AV67" s="124" t="str">
        <f t="shared" si="75"/>
        <v/>
      </c>
      <c r="AZ67" s="69">
        <f>AB67+D67</f>
        <v>494000</v>
      </c>
      <c r="BA67" s="70"/>
      <c r="BB67" s="71">
        <f>AF67+H67</f>
        <v>1452.9411764705883</v>
      </c>
      <c r="BC67" s="70"/>
      <c r="BD67" s="78">
        <f t="shared" si="76"/>
        <v>4.7715637979329666E-3</v>
      </c>
      <c r="BE67" s="36"/>
      <c r="BF67" s="36"/>
      <c r="BH67" s="9">
        <f t="shared" si="77"/>
        <v>0</v>
      </c>
      <c r="BI67" s="21"/>
      <c r="BJ67" s="9">
        <f t="shared" si="78"/>
        <v>0</v>
      </c>
      <c r="BK67" s="21"/>
      <c r="BL67" s="113">
        <f t="shared" si="79"/>
        <v>0</v>
      </c>
      <c r="BM67" s="135"/>
      <c r="BN67" s="129"/>
      <c r="BO67" s="135"/>
      <c r="BP67" s="124"/>
    </row>
    <row r="68" spans="2:70" s="26" customFormat="1" ht="15.95" customHeight="1" x14ac:dyDescent="0.25">
      <c r="B68" s="143" t="s">
        <v>61</v>
      </c>
      <c r="D68" s="152">
        <v>10500</v>
      </c>
      <c r="E68" s="70"/>
      <c r="F68" s="71">
        <f>$H$6</f>
        <v>340</v>
      </c>
      <c r="G68" s="70"/>
      <c r="H68" s="27">
        <f t="shared" si="68"/>
        <v>30.882352941176471</v>
      </c>
      <c r="I68" s="70"/>
      <c r="J68" s="78">
        <f t="shared" si="69"/>
        <v>2.0657092268345465E-4</v>
      </c>
      <c r="K68" s="36"/>
      <c r="L68" s="36"/>
      <c r="N68" s="132"/>
      <c r="O68" s="132"/>
      <c r="Q68" s="132"/>
      <c r="R68" s="132"/>
      <c r="S68" s="132"/>
      <c r="T68" s="113"/>
      <c r="U68" s="135"/>
      <c r="V68" s="129"/>
      <c r="W68" s="135"/>
      <c r="X68" s="124"/>
      <c r="AB68" s="97">
        <v>18000</v>
      </c>
      <c r="AC68" s="132"/>
      <c r="AD68" s="71">
        <f t="shared" si="70"/>
        <v>340</v>
      </c>
      <c r="AE68" s="70"/>
      <c r="AF68" s="71">
        <f t="shared" si="71"/>
        <v>52.941176470588232</v>
      </c>
      <c r="AG68" s="70"/>
      <c r="AH68" s="140">
        <f t="shared" si="72"/>
        <v>3.5412158174306512E-4</v>
      </c>
      <c r="AI68" s="36"/>
      <c r="AJ68" s="36"/>
      <c r="AL68" s="96"/>
      <c r="AM68" s="132"/>
      <c r="AO68" s="132"/>
      <c r="AP68" s="96"/>
      <c r="AQ68" s="21"/>
      <c r="AR68" s="113" t="str">
        <f t="shared" si="73"/>
        <v/>
      </c>
      <c r="AS68" s="135"/>
      <c r="AT68" s="129" t="str">
        <f t="shared" si="74"/>
        <v/>
      </c>
      <c r="AU68" s="135"/>
      <c r="AV68" s="124" t="str">
        <f t="shared" si="75"/>
        <v/>
      </c>
      <c r="AZ68" s="69">
        <f>AB68+D68</f>
        <v>28500</v>
      </c>
      <c r="BA68" s="70"/>
      <c r="BB68" s="71">
        <f>AF68+H68</f>
        <v>83.823529411764696</v>
      </c>
      <c r="BC68" s="70"/>
      <c r="BD68" s="78">
        <f t="shared" si="76"/>
        <v>2.7528252680382497E-4</v>
      </c>
      <c r="BE68" s="36"/>
      <c r="BF68" s="36"/>
      <c r="BH68" s="9">
        <f t="shared" si="77"/>
        <v>0</v>
      </c>
      <c r="BI68" s="21"/>
      <c r="BJ68" s="9">
        <f t="shared" si="78"/>
        <v>0</v>
      </c>
      <c r="BK68" s="21"/>
      <c r="BL68" s="113">
        <f t="shared" si="79"/>
        <v>0</v>
      </c>
      <c r="BM68" s="135"/>
      <c r="BN68" s="129"/>
      <c r="BO68" s="135"/>
      <c r="BP68" s="124"/>
    </row>
    <row r="69" spans="2:70" s="26" customFormat="1" ht="15.95" customHeight="1" x14ac:dyDescent="0.25">
      <c r="B69" s="143" t="s">
        <v>62</v>
      </c>
      <c r="D69" s="152">
        <v>204400</v>
      </c>
      <c r="E69" s="70"/>
      <c r="F69" s="71">
        <f>$H$6</f>
        <v>340</v>
      </c>
      <c r="G69" s="70"/>
      <c r="H69" s="27">
        <f t="shared" si="68"/>
        <v>601.17647058823525</v>
      </c>
      <c r="I69" s="70"/>
      <c r="J69" s="78">
        <f t="shared" si="69"/>
        <v>4.0212472949045838E-3</v>
      </c>
      <c r="K69" s="36"/>
      <c r="L69" s="36"/>
      <c r="N69" s="132"/>
      <c r="O69" s="132"/>
      <c r="Q69" s="132"/>
      <c r="R69" s="132"/>
      <c r="S69" s="132"/>
      <c r="T69" s="113"/>
      <c r="U69" s="135"/>
      <c r="V69" s="129"/>
      <c r="W69" s="135"/>
      <c r="X69" s="124"/>
      <c r="AB69" s="97">
        <v>262800</v>
      </c>
      <c r="AC69" s="132"/>
      <c r="AD69" s="71">
        <f t="shared" si="70"/>
        <v>340</v>
      </c>
      <c r="AE69" s="70"/>
      <c r="AF69" s="71">
        <f t="shared" si="71"/>
        <v>772.94117647058829</v>
      </c>
      <c r="AG69" s="70"/>
      <c r="AH69" s="140">
        <f t="shared" si="72"/>
        <v>5.1701750934487513E-3</v>
      </c>
      <c r="AI69" s="36"/>
      <c r="AJ69" s="36"/>
      <c r="AL69" s="96"/>
      <c r="AM69" s="132"/>
      <c r="AO69" s="132"/>
      <c r="AP69" s="96"/>
      <c r="AQ69" s="21"/>
      <c r="AR69" s="113" t="str">
        <f t="shared" si="73"/>
        <v/>
      </c>
      <c r="AS69" s="135"/>
      <c r="AT69" s="129" t="str">
        <f t="shared" si="74"/>
        <v/>
      </c>
      <c r="AU69" s="135"/>
      <c r="AV69" s="124" t="str">
        <f t="shared" si="75"/>
        <v/>
      </c>
      <c r="AZ69" s="69">
        <f>AB69+D69</f>
        <v>467200</v>
      </c>
      <c r="BA69" s="70"/>
      <c r="BB69" s="71">
        <f>AF69+H69</f>
        <v>1374.1176470588234</v>
      </c>
      <c r="BC69" s="70"/>
      <c r="BD69" s="78">
        <f t="shared" si="76"/>
        <v>4.5127016323770882E-3</v>
      </c>
      <c r="BE69" s="36"/>
      <c r="BF69" s="36"/>
      <c r="BH69" s="9">
        <f t="shared" si="77"/>
        <v>0</v>
      </c>
      <c r="BI69" s="21"/>
      <c r="BJ69" s="9">
        <f t="shared" si="78"/>
        <v>0</v>
      </c>
      <c r="BK69" s="21"/>
      <c r="BL69" s="113">
        <f t="shared" si="79"/>
        <v>0</v>
      </c>
      <c r="BM69" s="135"/>
      <c r="BN69" s="129"/>
      <c r="BO69" s="135"/>
      <c r="BP69" s="124"/>
    </row>
    <row r="70" spans="2:70" s="26" customFormat="1" ht="15.95" customHeight="1" thickBot="1" x14ac:dyDescent="0.3">
      <c r="B70" s="142" t="s">
        <v>77</v>
      </c>
      <c r="D70" s="151">
        <f>SUM(D65:D69)</f>
        <v>819200</v>
      </c>
      <c r="E70" s="70"/>
      <c r="F70" s="70"/>
      <c r="G70" s="70"/>
      <c r="H70" s="136">
        <f>SUM(H65:H69)</f>
        <v>2409.4117647058824</v>
      </c>
      <c r="I70" s="70"/>
      <c r="J70" s="141">
        <f>SUM(J65:J69)</f>
        <v>1.6116466653551053E-2</v>
      </c>
      <c r="K70" s="36"/>
      <c r="L70" s="36"/>
      <c r="N70" s="197">
        <v>287000</v>
      </c>
      <c r="O70" s="132"/>
      <c r="P70" s="24">
        <v>407</v>
      </c>
      <c r="Q70" s="132"/>
      <c r="R70" s="134">
        <f>N70/P70</f>
        <v>705.15970515970514</v>
      </c>
      <c r="S70" s="132"/>
      <c r="T70" s="116">
        <f t="shared" ref="T70" si="80">R70/$R$10</f>
        <v>4.5721306176470539E-3</v>
      </c>
      <c r="U70" s="135"/>
      <c r="V70" s="121">
        <f t="shared" ref="V70" si="81">R70-H70</f>
        <v>-1704.2520595461774</v>
      </c>
      <c r="W70" s="135"/>
      <c r="X70" s="125">
        <f t="shared" ref="X70" si="82">V70/H70</f>
        <v>-0.70733117705773962</v>
      </c>
      <c r="AB70" s="151">
        <f>SUM(AB65:AB69)</f>
        <v>1299800</v>
      </c>
      <c r="AC70" s="154"/>
      <c r="AD70" s="70"/>
      <c r="AE70" s="70"/>
      <c r="AF70" s="149">
        <f>SUM(AF65:AF69)</f>
        <v>3822.9411764705883</v>
      </c>
      <c r="AG70" s="70"/>
      <c r="AH70" s="139">
        <f>SUM(AH65:AH69)</f>
        <v>2.5571512886090893E-2</v>
      </c>
      <c r="AI70" s="36"/>
      <c r="AJ70" s="36"/>
      <c r="AL70" s="204">
        <f>SUM(AL65:AL69)</f>
        <v>0</v>
      </c>
      <c r="AM70" s="132"/>
      <c r="AO70" s="132"/>
      <c r="AP70" s="204">
        <f>SUM(AP65:AP69)</f>
        <v>0</v>
      </c>
      <c r="AQ70" s="21"/>
      <c r="AR70" s="116">
        <f>SUM(AR65:AR69)</f>
        <v>0</v>
      </c>
      <c r="AS70" s="135"/>
      <c r="AT70" s="121">
        <f>SUM(AT65:AT69)</f>
        <v>0</v>
      </c>
      <c r="AU70" s="135"/>
      <c r="AV70" s="125" t="str">
        <f>IF(COUNT(AL65:AL69)=5,((AP70-AF70)/AF70),"")</f>
        <v/>
      </c>
      <c r="AZ70" s="151">
        <f>SUM(AZ65:AZ69)</f>
        <v>2119000</v>
      </c>
      <c r="BA70" s="70"/>
      <c r="BB70" s="149">
        <f>SUM(BB65:BB69)</f>
        <v>6232.3529411764712</v>
      </c>
      <c r="BC70" s="70"/>
      <c r="BD70" s="139">
        <f>SUM(BD65:BD69)</f>
        <v>2.0467497343765094E-2</v>
      </c>
      <c r="BE70" s="36"/>
      <c r="BF70" s="36"/>
      <c r="BH70" s="134">
        <f t="shared" ref="BH70" si="83">AL70+N70</f>
        <v>287000</v>
      </c>
      <c r="BI70" s="21"/>
      <c r="BJ70" s="134">
        <f t="shared" ref="BJ70" si="84">AP70+R70</f>
        <v>705.15970515970514</v>
      </c>
      <c r="BK70" s="132"/>
      <c r="BL70" s="116">
        <f t="shared" si="79"/>
        <v>1.7887012788466254E-3</v>
      </c>
      <c r="BM70" s="21"/>
      <c r="BN70" s="121">
        <f>BJ70-BB70</f>
        <v>-5527.1932360167657</v>
      </c>
      <c r="BO70" s="135"/>
      <c r="BP70" s="121">
        <f>SUM(BP65:BP69)</f>
        <v>0</v>
      </c>
      <c r="BQ70" s="135"/>
      <c r="BR70" s="172"/>
    </row>
    <row r="71" spans="2:70" s="26" customFormat="1" ht="15.95" customHeight="1" x14ac:dyDescent="0.25">
      <c r="B71" s="142"/>
      <c r="D71" s="145"/>
      <c r="E71" s="70"/>
      <c r="F71" s="70"/>
      <c r="G71" s="70"/>
      <c r="H71" s="27"/>
      <c r="I71" s="70"/>
      <c r="J71" s="78"/>
      <c r="K71" s="36"/>
      <c r="L71" s="36"/>
      <c r="N71" s="132"/>
      <c r="O71" s="132"/>
      <c r="Q71" s="132"/>
      <c r="R71" s="132"/>
      <c r="S71" s="132"/>
      <c r="T71" s="113"/>
      <c r="U71" s="135"/>
      <c r="V71" s="129"/>
      <c r="W71" s="135"/>
      <c r="X71" s="124"/>
      <c r="AB71" s="145"/>
      <c r="AC71" s="154"/>
      <c r="AD71" s="70"/>
      <c r="AE71" s="70"/>
      <c r="AF71" s="71"/>
      <c r="AG71" s="70"/>
      <c r="AH71" s="140"/>
      <c r="AI71" s="36"/>
      <c r="AJ71" s="36"/>
      <c r="AL71" s="132"/>
      <c r="AM71" s="132"/>
      <c r="AO71" s="132"/>
      <c r="AP71" s="132"/>
      <c r="AQ71" s="21"/>
      <c r="AR71" s="111"/>
      <c r="AS71" s="135"/>
      <c r="AT71" s="129"/>
      <c r="AU71" s="135"/>
      <c r="AV71" s="124"/>
      <c r="AZ71" s="145"/>
      <c r="BA71" s="70"/>
      <c r="BB71" s="71"/>
      <c r="BC71" s="70"/>
      <c r="BD71" s="78"/>
      <c r="BE71" s="36"/>
      <c r="BF71" s="36"/>
      <c r="BH71" s="132"/>
      <c r="BJ71" s="93"/>
      <c r="BK71" s="21"/>
      <c r="BL71" s="113"/>
      <c r="BM71" s="135"/>
      <c r="BN71" s="135"/>
      <c r="BO71" s="135"/>
      <c r="BP71" s="124"/>
    </row>
    <row r="72" spans="2:70" s="26" customFormat="1" ht="15.95" customHeight="1" x14ac:dyDescent="0.25">
      <c r="B72" s="144" t="s">
        <v>82</v>
      </c>
      <c r="D72" s="150"/>
      <c r="E72" s="70"/>
      <c r="F72" s="70"/>
      <c r="G72" s="70"/>
      <c r="H72" s="27"/>
      <c r="I72" s="70"/>
      <c r="J72" s="78"/>
      <c r="K72" s="36"/>
      <c r="L72" s="36"/>
      <c r="N72" s="132"/>
      <c r="O72" s="132"/>
      <c r="Q72" s="132"/>
      <c r="R72" s="132"/>
      <c r="S72" s="132"/>
      <c r="T72" s="113"/>
      <c r="U72" s="135"/>
      <c r="V72" s="129"/>
      <c r="W72" s="135"/>
      <c r="X72" s="124"/>
      <c r="AB72" s="150"/>
      <c r="AC72" s="153"/>
      <c r="AD72" s="70"/>
      <c r="AE72" s="70"/>
      <c r="AF72" s="71"/>
      <c r="AG72" s="70"/>
      <c r="AH72" s="140"/>
      <c r="AI72" s="36"/>
      <c r="AJ72" s="36"/>
      <c r="AL72" s="132"/>
      <c r="AM72" s="132"/>
      <c r="AO72" s="132"/>
      <c r="AP72" s="132"/>
      <c r="AQ72" s="21"/>
      <c r="AR72" s="111"/>
      <c r="AS72" s="135"/>
      <c r="AT72" s="129"/>
      <c r="AU72" s="135"/>
      <c r="AV72" s="124"/>
      <c r="AZ72" s="150"/>
      <c r="BA72" s="70"/>
      <c r="BB72" s="71"/>
      <c r="BC72" s="70"/>
      <c r="BD72" s="78"/>
      <c r="BE72" s="36"/>
      <c r="BF72" s="36"/>
      <c r="BH72" s="132"/>
      <c r="BJ72" s="93"/>
      <c r="BK72" s="21"/>
      <c r="BL72" s="113"/>
      <c r="BM72" s="135"/>
      <c r="BN72" s="135"/>
      <c r="BO72" s="135"/>
      <c r="BP72" s="124"/>
    </row>
    <row r="73" spans="2:70" s="26" customFormat="1" ht="15.95" customHeight="1" x14ac:dyDescent="0.25">
      <c r="B73" s="143" t="s">
        <v>58</v>
      </c>
      <c r="D73" s="152">
        <v>412500</v>
      </c>
      <c r="E73" s="70"/>
      <c r="F73" s="71">
        <f>$H$6</f>
        <v>340</v>
      </c>
      <c r="G73" s="70"/>
      <c r="H73" s="27">
        <f t="shared" ref="H73:H76" si="85">D73/F73</f>
        <v>1213.2352941176471</v>
      </c>
      <c r="I73" s="70"/>
      <c r="J73" s="78">
        <f t="shared" ref="J73:J76" si="86">H73/$H$10</f>
        <v>8.1152862482785759E-3</v>
      </c>
      <c r="K73" s="36"/>
      <c r="L73" s="36"/>
      <c r="N73" s="132"/>
      <c r="O73" s="132"/>
      <c r="Q73" s="132"/>
      <c r="R73" s="132"/>
      <c r="S73" s="132"/>
      <c r="T73" s="113"/>
      <c r="U73" s="135"/>
      <c r="V73" s="129"/>
      <c r="W73" s="135"/>
      <c r="X73" s="124"/>
      <c r="AB73" s="152">
        <v>693000</v>
      </c>
      <c r="AC73" s="154"/>
      <c r="AD73" s="71">
        <f t="shared" ref="AD73:AD76" si="87">$AF$6</f>
        <v>340</v>
      </c>
      <c r="AE73" s="70"/>
      <c r="AF73" s="71">
        <f t="shared" ref="AF73:AF76" si="88">AB73/AD73</f>
        <v>2038.2352941176471</v>
      </c>
      <c r="AG73" s="70"/>
      <c r="AH73" s="140">
        <f t="shared" ref="AH73:AH76" si="89">AF73/$H$10</f>
        <v>1.3633680897108006E-2</v>
      </c>
      <c r="AI73" s="36"/>
      <c r="AJ73" s="36"/>
      <c r="AL73" s="96"/>
      <c r="AM73" s="132"/>
      <c r="AO73" s="132"/>
      <c r="AP73" s="96"/>
      <c r="AQ73" s="21"/>
      <c r="AR73" s="111" t="str">
        <f t="shared" ref="AR73:AR76" si="90">IF(AP73="","",AP73/AP$10)</f>
        <v/>
      </c>
      <c r="AS73" s="135"/>
      <c r="AT73" s="129" t="str">
        <f t="shared" ref="AT73:AT76" si="91">IF(AP73="","",AP73-AF73)</f>
        <v/>
      </c>
      <c r="AU73" s="135"/>
      <c r="AV73" s="124" t="str">
        <f t="shared" ref="AV73:AV76" si="92">IF(AP73=0,"",((AP73-AF73)/AF73))</f>
        <v/>
      </c>
      <c r="AZ73" s="69">
        <f>AB73+D73</f>
        <v>1105500</v>
      </c>
      <c r="BA73" s="70"/>
      <c r="BB73" s="71">
        <f>AF73+H73</f>
        <v>3251.4705882352941</v>
      </c>
      <c r="BC73" s="70"/>
      <c r="BD73" s="78">
        <f t="shared" ref="BD73:BD76" si="93">BB73/$BB$10</f>
        <v>1.0678064329179948E-2</v>
      </c>
      <c r="BE73" s="36"/>
      <c r="BF73" s="36"/>
      <c r="BH73" s="9">
        <f t="shared" ref="BH73:BH76" si="94">AL73+N73</f>
        <v>0</v>
      </c>
      <c r="BI73" s="21"/>
      <c r="BJ73" s="9">
        <f t="shared" ref="BJ73:BJ77" si="95">AP73+R73</f>
        <v>0</v>
      </c>
      <c r="BK73" s="21"/>
      <c r="BL73" s="113">
        <f t="shared" ref="BL73:BL77" si="96">BJ73/$BJ$10</f>
        <v>0</v>
      </c>
      <c r="BM73" s="135"/>
      <c r="BN73" s="129"/>
      <c r="BO73" s="135"/>
      <c r="BP73" s="124"/>
    </row>
    <row r="74" spans="2:70" s="26" customFormat="1" ht="15.95" customHeight="1" x14ac:dyDescent="0.25">
      <c r="B74" s="143" t="s">
        <v>60</v>
      </c>
      <c r="D74" s="152">
        <v>312000</v>
      </c>
      <c r="E74" s="70"/>
      <c r="F74" s="71">
        <f>$H$6</f>
        <v>340</v>
      </c>
      <c r="G74" s="70"/>
      <c r="H74" s="27">
        <f t="shared" si="85"/>
        <v>917.64705882352939</v>
      </c>
      <c r="I74" s="70"/>
      <c r="J74" s="78">
        <f t="shared" si="86"/>
        <v>6.1381074168797949E-3</v>
      </c>
      <c r="K74" s="36"/>
      <c r="L74" s="36"/>
      <c r="N74" s="132"/>
      <c r="O74" s="132"/>
      <c r="Q74" s="132"/>
      <c r="R74" s="132"/>
      <c r="S74" s="132"/>
      <c r="T74" s="113"/>
      <c r="U74" s="135"/>
      <c r="V74" s="129"/>
      <c r="W74" s="135"/>
      <c r="X74" s="124"/>
      <c r="AB74" s="152">
        <v>468000</v>
      </c>
      <c r="AC74" s="154"/>
      <c r="AD74" s="71">
        <f t="shared" si="87"/>
        <v>340</v>
      </c>
      <c r="AE74" s="70"/>
      <c r="AF74" s="71">
        <f t="shared" si="88"/>
        <v>1376.4705882352941</v>
      </c>
      <c r="AG74" s="70"/>
      <c r="AH74" s="140">
        <f t="shared" si="89"/>
        <v>9.207161125319694E-3</v>
      </c>
      <c r="AI74" s="36"/>
      <c r="AJ74" s="36"/>
      <c r="AL74" s="96"/>
      <c r="AM74" s="132"/>
      <c r="AO74" s="132"/>
      <c r="AP74" s="96"/>
      <c r="AQ74" s="21"/>
      <c r="AR74" s="111" t="str">
        <f t="shared" si="90"/>
        <v/>
      </c>
      <c r="AS74" s="135"/>
      <c r="AT74" s="129" t="str">
        <f t="shared" si="91"/>
        <v/>
      </c>
      <c r="AU74" s="135"/>
      <c r="AV74" s="124" t="str">
        <f t="shared" si="92"/>
        <v/>
      </c>
      <c r="AZ74" s="69">
        <f>AB74+D74</f>
        <v>780000</v>
      </c>
      <c r="BA74" s="70"/>
      <c r="BB74" s="71">
        <f>AF74+H74</f>
        <v>2294.1176470588234</v>
      </c>
      <c r="BC74" s="70"/>
      <c r="BD74" s="78">
        <f t="shared" si="93"/>
        <v>7.53404810199942E-3</v>
      </c>
      <c r="BE74" s="36"/>
      <c r="BF74" s="36"/>
      <c r="BH74" s="9">
        <f t="shared" si="94"/>
        <v>0</v>
      </c>
      <c r="BI74" s="21"/>
      <c r="BJ74" s="9">
        <f t="shared" si="95"/>
        <v>0</v>
      </c>
      <c r="BK74" s="21"/>
      <c r="BL74" s="113">
        <f t="shared" si="96"/>
        <v>0</v>
      </c>
      <c r="BM74" s="135"/>
      <c r="BN74" s="129"/>
      <c r="BO74" s="135"/>
      <c r="BP74" s="124"/>
    </row>
    <row r="75" spans="2:70" s="26" customFormat="1" ht="15.95" customHeight="1" x14ac:dyDescent="0.25">
      <c r="B75" s="143" t="s">
        <v>61</v>
      </c>
      <c r="D75" s="152">
        <v>36000</v>
      </c>
      <c r="E75" s="70"/>
      <c r="F75" s="71">
        <f>$H$6</f>
        <v>340</v>
      </c>
      <c r="G75" s="70"/>
      <c r="H75" s="27">
        <f t="shared" si="85"/>
        <v>105.88235294117646</v>
      </c>
      <c r="I75" s="70"/>
      <c r="J75" s="78">
        <f t="shared" si="86"/>
        <v>7.0824316348613023E-4</v>
      </c>
      <c r="K75" s="36"/>
      <c r="L75" s="36"/>
      <c r="N75" s="132"/>
      <c r="O75" s="132"/>
      <c r="Q75" s="132"/>
      <c r="R75" s="132"/>
      <c r="S75" s="132"/>
      <c r="T75" s="113"/>
      <c r="U75" s="135"/>
      <c r="V75" s="129"/>
      <c r="W75" s="135"/>
      <c r="X75" s="124"/>
      <c r="AB75" s="152">
        <v>54000</v>
      </c>
      <c r="AC75" s="154"/>
      <c r="AD75" s="71">
        <f t="shared" si="87"/>
        <v>340</v>
      </c>
      <c r="AE75" s="70"/>
      <c r="AF75" s="71">
        <f t="shared" si="88"/>
        <v>158.8235294117647</v>
      </c>
      <c r="AG75" s="70"/>
      <c r="AH75" s="140">
        <f t="shared" si="89"/>
        <v>1.0623647452291953E-3</v>
      </c>
      <c r="AI75" s="36"/>
      <c r="AJ75" s="36"/>
      <c r="AL75" s="96"/>
      <c r="AM75" s="132"/>
      <c r="AO75" s="132"/>
      <c r="AP75" s="96"/>
      <c r="AQ75" s="21"/>
      <c r="AR75" s="111" t="str">
        <f t="shared" si="90"/>
        <v/>
      </c>
      <c r="AS75" s="135"/>
      <c r="AT75" s="129" t="str">
        <f t="shared" si="91"/>
        <v/>
      </c>
      <c r="AU75" s="135"/>
      <c r="AV75" s="124" t="str">
        <f t="shared" si="92"/>
        <v/>
      </c>
      <c r="AZ75" s="69">
        <f>AB75+D75</f>
        <v>90000</v>
      </c>
      <c r="BA75" s="70"/>
      <c r="BB75" s="71">
        <f>AF75+H75</f>
        <v>264.70588235294116</v>
      </c>
      <c r="BC75" s="70"/>
      <c r="BD75" s="78">
        <f t="shared" si="93"/>
        <v>8.6931324253839456E-4</v>
      </c>
      <c r="BE75" s="36"/>
      <c r="BF75" s="36"/>
      <c r="BH75" s="9">
        <f t="shared" si="94"/>
        <v>0</v>
      </c>
      <c r="BI75" s="21"/>
      <c r="BJ75" s="9">
        <f t="shared" si="95"/>
        <v>0</v>
      </c>
      <c r="BK75" s="21"/>
      <c r="BL75" s="113">
        <f t="shared" si="96"/>
        <v>0</v>
      </c>
      <c r="BM75" s="135"/>
      <c r="BN75" s="129"/>
      <c r="BO75" s="135"/>
      <c r="BP75" s="124"/>
    </row>
    <row r="76" spans="2:70" s="26" customFormat="1" ht="15.95" customHeight="1" x14ac:dyDescent="0.25">
      <c r="B76" s="143" t="s">
        <v>62</v>
      </c>
      <c r="D76" s="152">
        <v>700800</v>
      </c>
      <c r="E76" s="70"/>
      <c r="F76" s="71">
        <f>$H$6</f>
        <v>340</v>
      </c>
      <c r="G76" s="70"/>
      <c r="H76" s="27">
        <f t="shared" si="85"/>
        <v>2061.1764705882351</v>
      </c>
      <c r="I76" s="70"/>
      <c r="J76" s="78">
        <f t="shared" si="86"/>
        <v>1.3787133582530002E-2</v>
      </c>
      <c r="K76" s="36"/>
      <c r="L76" s="36"/>
      <c r="N76" s="132"/>
      <c r="O76" s="132"/>
      <c r="Q76" s="132"/>
      <c r="R76" s="132"/>
      <c r="S76" s="132"/>
      <c r="T76" s="113"/>
      <c r="U76" s="135"/>
      <c r="V76" s="129"/>
      <c r="W76" s="135"/>
      <c r="X76" s="124"/>
      <c r="AB76" s="152">
        <v>788400</v>
      </c>
      <c r="AC76" s="154"/>
      <c r="AD76" s="71">
        <f t="shared" si="87"/>
        <v>340</v>
      </c>
      <c r="AE76" s="70"/>
      <c r="AF76" s="71">
        <f t="shared" si="88"/>
        <v>2318.8235294117649</v>
      </c>
      <c r="AG76" s="70"/>
      <c r="AH76" s="140">
        <f t="shared" si="89"/>
        <v>1.5510525280346254E-2</v>
      </c>
      <c r="AI76" s="36"/>
      <c r="AJ76" s="36"/>
      <c r="AL76" s="96"/>
      <c r="AM76" s="132"/>
      <c r="AO76" s="132"/>
      <c r="AP76" s="96"/>
      <c r="AQ76" s="21"/>
      <c r="AR76" s="111" t="str">
        <f t="shared" si="90"/>
        <v/>
      </c>
      <c r="AS76" s="135"/>
      <c r="AT76" s="129" t="str">
        <f t="shared" si="91"/>
        <v/>
      </c>
      <c r="AU76" s="135"/>
      <c r="AV76" s="124" t="str">
        <f t="shared" si="92"/>
        <v/>
      </c>
      <c r="AZ76" s="69">
        <f>AB76+D76</f>
        <v>1489200</v>
      </c>
      <c r="BA76" s="70"/>
      <c r="BB76" s="71">
        <f>AF76+H76</f>
        <v>4380</v>
      </c>
      <c r="BC76" s="70"/>
      <c r="BD76" s="78">
        <f t="shared" si="93"/>
        <v>1.4384236453201971E-2</v>
      </c>
      <c r="BE76" s="36"/>
      <c r="BF76" s="36"/>
      <c r="BH76" s="9">
        <f t="shared" si="94"/>
        <v>0</v>
      </c>
      <c r="BI76" s="21"/>
      <c r="BJ76" s="9">
        <f t="shared" si="95"/>
        <v>0</v>
      </c>
      <c r="BK76" s="21"/>
      <c r="BL76" s="117">
        <f t="shared" si="96"/>
        <v>0</v>
      </c>
      <c r="BM76" s="135"/>
      <c r="BN76" s="129"/>
      <c r="BO76" s="135"/>
      <c r="BP76" s="124"/>
    </row>
    <row r="77" spans="2:70" s="26" customFormat="1" ht="15.95" customHeight="1" thickBot="1" x14ac:dyDescent="0.3">
      <c r="B77" s="142" t="s">
        <v>78</v>
      </c>
      <c r="D77" s="151">
        <f>SUM(D73:D76)</f>
        <v>1461300</v>
      </c>
      <c r="E77" s="70"/>
      <c r="F77" s="70"/>
      <c r="G77" s="70"/>
      <c r="H77" s="136">
        <f>SUM(H73:H76)</f>
        <v>4297.9411764705883</v>
      </c>
      <c r="I77" s="70"/>
      <c r="J77" s="141">
        <f>SUM(J73:J76)</f>
        <v>2.8748770411174504E-2</v>
      </c>
      <c r="K77" s="36"/>
      <c r="L77" s="36"/>
      <c r="N77" s="197">
        <v>1749578</v>
      </c>
      <c r="O77" s="132"/>
      <c r="P77" s="24">
        <v>407</v>
      </c>
      <c r="Q77" s="132"/>
      <c r="R77" s="134">
        <f>N77/P77</f>
        <v>4298.7174447174448</v>
      </c>
      <c r="S77" s="132"/>
      <c r="T77" s="116">
        <f t="shared" ref="T77" si="97">R77/$R$10</f>
        <v>2.7872122445162711E-2</v>
      </c>
      <c r="U77" s="135"/>
      <c r="V77" s="121">
        <f t="shared" ref="V77" si="98">R77-H77</f>
        <v>0.77626824685648899</v>
      </c>
      <c r="W77" s="135"/>
      <c r="X77" s="125">
        <f t="shared" ref="X77" si="99">V77/H77</f>
        <v>1.806139765491044E-4</v>
      </c>
      <c r="AB77" s="151">
        <f>SUM(AB73:AB76)</f>
        <v>2003400</v>
      </c>
      <c r="AC77" s="154"/>
      <c r="AD77" s="70"/>
      <c r="AE77" s="70"/>
      <c r="AF77" s="149">
        <f>SUM(AF73:AF76)</f>
        <v>5892.3529411764712</v>
      </c>
      <c r="AG77" s="70"/>
      <c r="AH77" s="139">
        <f>SUM(AH73:AH76)</f>
        <v>3.941373204800315E-2</v>
      </c>
      <c r="AI77" s="36"/>
      <c r="AJ77" s="36"/>
      <c r="AL77" s="136">
        <f>SUM(AL73:AL76)</f>
        <v>0</v>
      </c>
      <c r="AM77" s="132"/>
      <c r="AO77" s="132"/>
      <c r="AP77" s="136">
        <f>SUM(AP73:AP76)</f>
        <v>0</v>
      </c>
      <c r="AQ77" s="21"/>
      <c r="AR77" s="116">
        <f>SUM(AR73:AR76)</f>
        <v>0</v>
      </c>
      <c r="AS77" s="135"/>
      <c r="AT77" s="121">
        <f>SUM(AT73:AT76)</f>
        <v>0</v>
      </c>
      <c r="AU77" s="135"/>
      <c r="AV77" s="125" t="str">
        <f>IF(COUNT(AL73:AL76)=4,((AP77-AF77)/AF77),"")</f>
        <v/>
      </c>
      <c r="AZ77" s="151">
        <f>SUM(AZ73:AZ76)</f>
        <v>3464700</v>
      </c>
      <c r="BA77" s="70"/>
      <c r="BB77" s="149">
        <f>SUM(BB73:BB76)</f>
        <v>10190.294117647059</v>
      </c>
      <c r="BC77" s="70"/>
      <c r="BD77" s="139">
        <f>SUM(BD73:BD76)</f>
        <v>3.3465662126919732E-2</v>
      </c>
      <c r="BE77" s="36"/>
      <c r="BF77" s="36"/>
      <c r="BH77" s="134">
        <v>287000</v>
      </c>
      <c r="BI77" s="134">
        <v>705.15970515970514</v>
      </c>
      <c r="BJ77" s="134">
        <f t="shared" si="95"/>
        <v>4298.7174447174448</v>
      </c>
      <c r="BK77" s="132"/>
      <c r="BL77" s="116">
        <f t="shared" si="96"/>
        <v>1.0904085038473593E-2</v>
      </c>
      <c r="BM77" s="21"/>
      <c r="BN77" s="121">
        <f>BJ77-BB77</f>
        <v>-5891.5766729296147</v>
      </c>
      <c r="BO77" s="135"/>
      <c r="BP77" s="121">
        <f>SUM(BP73:BP76)</f>
        <v>0</v>
      </c>
      <c r="BQ77" s="135"/>
      <c r="BR77" s="172"/>
    </row>
    <row r="78" spans="2:70" s="26" customFormat="1" ht="15.95" customHeight="1" x14ac:dyDescent="0.25">
      <c r="B78" s="142"/>
      <c r="D78" s="145"/>
      <c r="E78" s="70"/>
      <c r="F78" s="70"/>
      <c r="G78" s="70"/>
      <c r="H78" s="27"/>
      <c r="I78" s="70"/>
      <c r="J78" s="78"/>
      <c r="K78" s="36"/>
      <c r="L78" s="36"/>
      <c r="N78" s="132"/>
      <c r="O78" s="132"/>
      <c r="Q78" s="132"/>
      <c r="R78" s="132"/>
      <c r="S78" s="132"/>
      <c r="T78" s="113"/>
      <c r="U78" s="135"/>
      <c r="V78" s="129"/>
      <c r="W78" s="135"/>
      <c r="X78" s="124"/>
      <c r="AB78" s="145"/>
      <c r="AC78" s="154"/>
      <c r="AD78" s="70"/>
      <c r="AE78" s="70"/>
      <c r="AF78" s="71"/>
      <c r="AG78" s="70"/>
      <c r="AH78" s="140"/>
      <c r="AI78" s="36"/>
      <c r="AJ78" s="36"/>
      <c r="AL78" s="132"/>
      <c r="AM78" s="132"/>
      <c r="AO78" s="132"/>
      <c r="AP78" s="132"/>
      <c r="AQ78" s="21"/>
      <c r="AR78" s="111"/>
      <c r="AS78" s="135"/>
      <c r="AT78" s="129"/>
      <c r="AU78" s="135"/>
      <c r="AV78" s="124"/>
      <c r="AZ78" s="145"/>
      <c r="BA78" s="70"/>
      <c r="BB78" s="71"/>
      <c r="BC78" s="70"/>
      <c r="BD78" s="78"/>
      <c r="BE78" s="36"/>
      <c r="BF78" s="36"/>
      <c r="BH78" s="132"/>
      <c r="BJ78" s="93"/>
      <c r="BK78" s="21"/>
      <c r="BL78" s="113"/>
      <c r="BM78" s="135"/>
      <c r="BN78" s="135"/>
      <c r="BO78" s="135"/>
      <c r="BP78" s="124"/>
    </row>
    <row r="79" spans="2:70" s="26" customFormat="1" ht="15.95" customHeight="1" x14ac:dyDescent="0.25">
      <c r="B79" s="142" t="s">
        <v>81</v>
      </c>
      <c r="D79" s="150"/>
      <c r="E79" s="70"/>
      <c r="F79" s="70"/>
      <c r="G79" s="70"/>
      <c r="H79" s="27"/>
      <c r="I79" s="70"/>
      <c r="J79" s="78"/>
      <c r="K79" s="36"/>
      <c r="L79" s="36"/>
      <c r="N79" s="132"/>
      <c r="O79" s="132"/>
      <c r="Q79" s="132"/>
      <c r="R79" s="132"/>
      <c r="S79" s="132"/>
      <c r="T79" s="113"/>
      <c r="U79" s="135"/>
      <c r="V79" s="129"/>
      <c r="W79" s="135"/>
      <c r="X79" s="124"/>
      <c r="AB79" s="150"/>
      <c r="AC79" s="153"/>
      <c r="AD79" s="70"/>
      <c r="AE79" s="70"/>
      <c r="AF79" s="71"/>
      <c r="AG79" s="70"/>
      <c r="AH79" s="140"/>
      <c r="AI79" s="36"/>
      <c r="AJ79" s="36"/>
      <c r="AL79" s="132"/>
      <c r="AM79" s="132"/>
      <c r="AO79" s="132"/>
      <c r="AP79" s="132"/>
      <c r="AQ79" s="21"/>
      <c r="AR79" s="111"/>
      <c r="AS79" s="135"/>
      <c r="AT79" s="129"/>
      <c r="AU79" s="135"/>
      <c r="AV79" s="124"/>
      <c r="AZ79" s="150"/>
      <c r="BA79" s="70"/>
      <c r="BB79" s="71"/>
      <c r="BC79" s="70"/>
      <c r="BD79" s="78"/>
      <c r="BE79" s="36"/>
      <c r="BF79" s="36"/>
      <c r="BH79" s="132"/>
      <c r="BJ79" s="93"/>
      <c r="BK79" s="21"/>
      <c r="BL79" s="113"/>
      <c r="BM79" s="135"/>
      <c r="BN79" s="135"/>
      <c r="BO79" s="135"/>
      <c r="BP79" s="124"/>
    </row>
    <row r="80" spans="2:70" s="26" customFormat="1" ht="15.95" customHeight="1" x14ac:dyDescent="0.25">
      <c r="B80" s="143" t="s">
        <v>90</v>
      </c>
      <c r="D80" s="152">
        <v>336000</v>
      </c>
      <c r="E80" s="70"/>
      <c r="F80" s="71">
        <f>$H$6</f>
        <v>340</v>
      </c>
      <c r="G80" s="70"/>
      <c r="H80" s="27">
        <f t="shared" ref="H80" si="100">D80/F80</f>
        <v>988.23529411764707</v>
      </c>
      <c r="I80" s="70"/>
      <c r="J80" s="78">
        <f>H80/$H$10</f>
        <v>6.6102695258705487E-3</v>
      </c>
      <c r="K80" s="36"/>
      <c r="L80" s="36"/>
      <c r="N80" s="132"/>
      <c r="O80" s="132"/>
      <c r="Q80" s="132"/>
      <c r="R80" s="132"/>
      <c r="S80" s="132"/>
      <c r="T80" s="113"/>
      <c r="U80" s="135"/>
      <c r="V80" s="129"/>
      <c r="W80" s="135"/>
      <c r="X80" s="124"/>
      <c r="AB80" s="152">
        <v>525000</v>
      </c>
      <c r="AC80" s="154"/>
      <c r="AD80" s="71">
        <f t="shared" ref="AD80" si="101">$AF$6</f>
        <v>340</v>
      </c>
      <c r="AE80" s="70"/>
      <c r="AF80" s="71">
        <f t="shared" ref="AF80" si="102">AB80/AD80</f>
        <v>1544.1176470588234</v>
      </c>
      <c r="AG80" s="70"/>
      <c r="AH80" s="140">
        <f>AF80/$H$10</f>
        <v>1.0328546134172731E-2</v>
      </c>
      <c r="AI80" s="36"/>
      <c r="AJ80" s="36"/>
      <c r="AL80" s="96"/>
      <c r="AM80" s="132"/>
      <c r="AO80" s="132"/>
      <c r="AP80" s="96"/>
      <c r="AQ80" s="21"/>
      <c r="AR80" s="111" t="str">
        <f t="shared" ref="AR80" si="103">IF(AP80="","",AP80/AP$10)</f>
        <v/>
      </c>
      <c r="AS80" s="135"/>
      <c r="AT80" s="129" t="str">
        <f>IF(AP80="","",AP80-AF80)</f>
        <v/>
      </c>
      <c r="AU80" s="135"/>
      <c r="AV80" s="124" t="str">
        <f t="shared" ref="AV80" si="104">IF(AP80=0,"",((AP80-AF80)/AF80))</f>
        <v/>
      </c>
      <c r="AZ80" s="69">
        <f>AB80+D80</f>
        <v>861000</v>
      </c>
      <c r="BA80" s="70"/>
      <c r="BB80" s="71">
        <f>AF80+H80</f>
        <v>2532.3529411764703</v>
      </c>
      <c r="BC80" s="70"/>
      <c r="BD80" s="78">
        <f t="shared" ref="BD80" si="105">BB80/$BB$10</f>
        <v>8.3164300202839738E-3</v>
      </c>
      <c r="BE80" s="36"/>
      <c r="BF80" s="36"/>
      <c r="BH80" s="9">
        <f t="shared" ref="BH80" si="106">AL80+N80</f>
        <v>0</v>
      </c>
      <c r="BI80" s="21"/>
      <c r="BJ80" s="9">
        <f t="shared" ref="BJ80:BJ81" si="107">AP80+R80</f>
        <v>0</v>
      </c>
      <c r="BK80" s="21"/>
      <c r="BL80" s="113">
        <f t="shared" ref="BL80:BL81" si="108">BJ80/$BJ$10</f>
        <v>0</v>
      </c>
      <c r="BM80" s="135"/>
      <c r="BN80" s="129"/>
      <c r="BO80" s="135"/>
      <c r="BP80" s="124"/>
    </row>
    <row r="81" spans="2:70" s="26" customFormat="1" ht="15.95" customHeight="1" thickBot="1" x14ac:dyDescent="0.3">
      <c r="B81" s="142" t="s">
        <v>80</v>
      </c>
      <c r="D81" s="151">
        <f>D80</f>
        <v>336000</v>
      </c>
      <c r="E81" s="70"/>
      <c r="F81" s="70"/>
      <c r="G81" s="70"/>
      <c r="H81" s="136">
        <f>H80</f>
        <v>988.23529411764707</v>
      </c>
      <c r="I81" s="70"/>
      <c r="J81" s="141">
        <f>J80</f>
        <v>6.6102695258705487E-3</v>
      </c>
      <c r="K81" s="36"/>
      <c r="L81" s="36"/>
      <c r="N81" s="197">
        <v>0</v>
      </c>
      <c r="O81" s="132"/>
      <c r="P81" s="24">
        <v>407</v>
      </c>
      <c r="Q81" s="132"/>
      <c r="R81" s="134">
        <f>N81/P81</f>
        <v>0</v>
      </c>
      <c r="S81" s="132"/>
      <c r="T81" s="116">
        <f t="shared" ref="T81" si="109">R81/$R$10</f>
        <v>0</v>
      </c>
      <c r="U81" s="135"/>
      <c r="V81" s="121">
        <f t="shared" ref="V81" si="110">R81-H81</f>
        <v>-988.23529411764707</v>
      </c>
      <c r="W81" s="135"/>
      <c r="X81" s="125">
        <f t="shared" ref="X81" si="111">V81/H81</f>
        <v>-1</v>
      </c>
      <c r="AB81" s="151">
        <f>AB80</f>
        <v>525000</v>
      </c>
      <c r="AC81" s="154"/>
      <c r="AD81" s="70"/>
      <c r="AE81" s="70"/>
      <c r="AF81" s="149">
        <f>AF80</f>
        <v>1544.1176470588234</v>
      </c>
      <c r="AG81" s="70"/>
      <c r="AH81" s="139">
        <f>AH80</f>
        <v>1.0328546134172731E-2</v>
      </c>
      <c r="AI81" s="36"/>
      <c r="AJ81" s="36"/>
      <c r="AL81" s="136">
        <f>AL80</f>
        <v>0</v>
      </c>
      <c r="AM81" s="132"/>
      <c r="AO81" s="132"/>
      <c r="AP81" s="136">
        <f>AP80</f>
        <v>0</v>
      </c>
      <c r="AQ81" s="21"/>
      <c r="AR81" s="116">
        <f>SUM(AR80:AR80)</f>
        <v>0</v>
      </c>
      <c r="AS81" s="135"/>
      <c r="AT81" s="121">
        <f>SUM(AT80:AT80)</f>
        <v>0</v>
      </c>
      <c r="AU81" s="135"/>
      <c r="AV81" s="125" t="str">
        <f>IF(COUNT(AL80:AL80)=1,((AP81-AF81)/AF81),"")</f>
        <v/>
      </c>
      <c r="AZ81" s="151">
        <f>AZ80</f>
        <v>861000</v>
      </c>
      <c r="BA81" s="70"/>
      <c r="BB81" s="149">
        <f>BB80</f>
        <v>2532.3529411764703</v>
      </c>
      <c r="BC81" s="70"/>
      <c r="BD81" s="139">
        <f>BD80</f>
        <v>8.3164300202839738E-3</v>
      </c>
      <c r="BE81" s="36"/>
      <c r="BF81" s="36"/>
      <c r="BH81" s="134">
        <v>287000</v>
      </c>
      <c r="BI81" s="134">
        <v>705.15970515970514</v>
      </c>
      <c r="BJ81" s="134">
        <f t="shared" si="107"/>
        <v>0</v>
      </c>
      <c r="BK81" s="132"/>
      <c r="BL81" s="116">
        <f t="shared" si="108"/>
        <v>0</v>
      </c>
      <c r="BM81" s="21"/>
      <c r="BN81" s="121">
        <f>BJ81-BB81</f>
        <v>-2532.3529411764703</v>
      </c>
      <c r="BO81" s="135"/>
      <c r="BP81" s="121">
        <f>SUM(BP80:BP80)</f>
        <v>0</v>
      </c>
      <c r="BQ81" s="135"/>
      <c r="BR81" s="172"/>
    </row>
    <row r="82" spans="2:70" s="26" customFormat="1" ht="15.95" customHeight="1" x14ac:dyDescent="0.25">
      <c r="B82" s="142"/>
      <c r="D82" s="145"/>
      <c r="E82" s="70"/>
      <c r="F82" s="70"/>
      <c r="G82" s="70"/>
      <c r="H82" s="27"/>
      <c r="I82" s="70"/>
      <c r="J82" s="78"/>
      <c r="K82" s="36"/>
      <c r="L82" s="36"/>
      <c r="N82" s="132"/>
      <c r="O82" s="132"/>
      <c r="Q82" s="132"/>
      <c r="R82" s="132"/>
      <c r="S82" s="132"/>
      <c r="T82" s="113"/>
      <c r="U82" s="135"/>
      <c r="V82" s="129"/>
      <c r="W82" s="135"/>
      <c r="X82" s="124"/>
      <c r="AB82" s="145"/>
      <c r="AC82" s="154"/>
      <c r="AD82" s="70"/>
      <c r="AE82" s="70"/>
      <c r="AF82" s="71"/>
      <c r="AG82" s="70"/>
      <c r="AH82" s="140"/>
      <c r="AI82" s="36"/>
      <c r="AJ82" s="36"/>
      <c r="AL82" s="132"/>
      <c r="AM82" s="132"/>
      <c r="AO82" s="132"/>
      <c r="AP82" s="132"/>
      <c r="AQ82" s="21"/>
      <c r="AR82" s="111"/>
      <c r="AS82" s="135"/>
      <c r="AT82" s="129"/>
      <c r="AU82" s="135"/>
      <c r="AV82" s="124"/>
      <c r="AZ82" s="145"/>
      <c r="BA82" s="70"/>
      <c r="BB82" s="71"/>
      <c r="BC82" s="70"/>
      <c r="BD82" s="78"/>
      <c r="BE82" s="36"/>
      <c r="BF82" s="36"/>
      <c r="BH82" s="132"/>
      <c r="BJ82" s="93"/>
      <c r="BK82" s="21"/>
      <c r="BL82" s="113"/>
      <c r="BM82" s="135"/>
      <c r="BN82" s="135"/>
      <c r="BO82" s="135"/>
      <c r="BP82" s="124"/>
    </row>
    <row r="83" spans="2:70" s="26" customFormat="1" ht="15.95" customHeight="1" x14ac:dyDescent="0.25">
      <c r="B83" s="142" t="s">
        <v>15</v>
      </c>
      <c r="D83" s="150"/>
      <c r="E83" s="70"/>
      <c r="F83" s="70"/>
      <c r="G83" s="70"/>
      <c r="H83" s="27"/>
      <c r="I83" s="70"/>
      <c r="J83" s="78"/>
      <c r="K83" s="36"/>
      <c r="L83" s="36"/>
      <c r="N83" s="132"/>
      <c r="O83" s="132"/>
      <c r="Q83" s="132"/>
      <c r="R83" s="132"/>
      <c r="S83" s="132"/>
      <c r="T83" s="113"/>
      <c r="U83" s="135"/>
      <c r="V83" s="129"/>
      <c r="W83" s="135"/>
      <c r="X83" s="124"/>
      <c r="AB83" s="150"/>
      <c r="AC83" s="153"/>
      <c r="AD83" s="70"/>
      <c r="AE83" s="70"/>
      <c r="AF83" s="71"/>
      <c r="AG83" s="70"/>
      <c r="AH83" s="140"/>
      <c r="AI83" s="36"/>
      <c r="AJ83" s="36"/>
      <c r="AL83" s="132"/>
      <c r="AM83" s="132"/>
      <c r="AO83" s="132"/>
      <c r="AP83" s="132"/>
      <c r="AQ83" s="21"/>
      <c r="AR83" s="111"/>
      <c r="AS83" s="135"/>
      <c r="AT83" s="129"/>
      <c r="AU83" s="135"/>
      <c r="AV83" s="124"/>
      <c r="AZ83" s="150"/>
      <c r="BA83" s="70"/>
      <c r="BB83" s="71"/>
      <c r="BC83" s="70"/>
      <c r="BD83" s="78"/>
      <c r="BE83" s="36"/>
      <c r="BF83" s="36"/>
      <c r="BH83" s="132"/>
      <c r="BJ83" s="93"/>
      <c r="BK83" s="21"/>
      <c r="BL83" s="113"/>
      <c r="BM83" s="135"/>
      <c r="BN83" s="135"/>
      <c r="BO83" s="135"/>
      <c r="BP83" s="124"/>
    </row>
    <row r="84" spans="2:70" s="26" customFormat="1" ht="15.95" customHeight="1" x14ac:dyDescent="0.25">
      <c r="B84" s="143" t="s">
        <v>63</v>
      </c>
      <c r="D84" s="152">
        <v>25000</v>
      </c>
      <c r="E84" s="70"/>
      <c r="F84" s="71">
        <f t="shared" ref="F84:F91" si="112">$H$6</f>
        <v>340</v>
      </c>
      <c r="G84" s="70"/>
      <c r="H84" s="27">
        <f t="shared" ref="H84:H91" si="113">D84/F84</f>
        <v>73.529411764705884</v>
      </c>
      <c r="I84" s="70"/>
      <c r="J84" s="78">
        <f t="shared" ref="J84:J91" si="114">H84/$H$10</f>
        <v>4.918355301987016E-4</v>
      </c>
      <c r="K84" s="36"/>
      <c r="L84" s="36"/>
      <c r="N84" s="132"/>
      <c r="O84" s="132"/>
      <c r="Q84" s="132"/>
      <c r="R84" s="132"/>
      <c r="S84" s="132"/>
      <c r="T84" s="113"/>
      <c r="U84" s="135"/>
      <c r="V84" s="129"/>
      <c r="W84" s="135"/>
      <c r="X84" s="124"/>
      <c r="AB84" s="152">
        <v>37500</v>
      </c>
      <c r="AC84" s="154"/>
      <c r="AD84" s="71">
        <f t="shared" ref="AD84:AD91" si="115">$AF$6</f>
        <v>340</v>
      </c>
      <c r="AE84" s="70"/>
      <c r="AF84" s="71">
        <f t="shared" ref="AF84:AF91" si="116">AB84/AD84</f>
        <v>110.29411764705883</v>
      </c>
      <c r="AG84" s="70"/>
      <c r="AH84" s="140">
        <f t="shared" ref="AH84:AH91" si="117">AF84/$H$10</f>
        <v>7.3775329529805235E-4</v>
      </c>
      <c r="AI84" s="36"/>
      <c r="AJ84" s="36"/>
      <c r="AL84" s="96"/>
      <c r="AM84" s="132"/>
      <c r="AO84" s="132"/>
      <c r="AP84" s="96"/>
      <c r="AQ84" s="21"/>
      <c r="AR84" s="111" t="str">
        <f t="shared" ref="AR84:AR91" si="118">IF(AP84="","",AP84/AP$10)</f>
        <v/>
      </c>
      <c r="AS84" s="135"/>
      <c r="AT84" s="129" t="str">
        <f t="shared" ref="AT84:AT91" si="119">IF(AP84="","",AP84-AF84)</f>
        <v/>
      </c>
      <c r="AU84" s="135"/>
      <c r="AV84" s="124" t="str">
        <f t="shared" ref="AV84:AV91" si="120">IF(AP84=0,"",((AP84-AF84)/AF84))</f>
        <v/>
      </c>
      <c r="AZ84" s="69">
        <f t="shared" ref="AZ84:AZ91" si="121">AB84+D84</f>
        <v>62500</v>
      </c>
      <c r="BA84" s="70"/>
      <c r="BB84" s="71">
        <f t="shared" ref="BB84:BB91" si="122">AF84+H84</f>
        <v>183.8235294117647</v>
      </c>
      <c r="BC84" s="70"/>
      <c r="BD84" s="78">
        <f t="shared" ref="BD84:BD91" si="123">BB84/$BB$10</f>
        <v>6.0368975176277402E-4</v>
      </c>
      <c r="BE84" s="36"/>
      <c r="BF84" s="36"/>
      <c r="BH84" s="9">
        <f t="shared" ref="BH84:BH91" si="124">AL84+N84</f>
        <v>0</v>
      </c>
      <c r="BI84" s="21"/>
      <c r="BJ84" s="9">
        <f t="shared" ref="BJ84:BJ92" si="125">AP84+R84</f>
        <v>0</v>
      </c>
      <c r="BK84" s="21"/>
      <c r="BL84" s="113">
        <f t="shared" ref="BL84:BL92" si="126">BJ84/$BJ$10</f>
        <v>0</v>
      </c>
      <c r="BM84" s="135"/>
      <c r="BN84" s="129"/>
      <c r="BO84" s="135"/>
      <c r="BP84" s="124"/>
    </row>
    <row r="85" spans="2:70" s="26" customFormat="1" ht="15.95" customHeight="1" x14ac:dyDescent="0.25">
      <c r="B85" s="143" t="s">
        <v>64</v>
      </c>
      <c r="D85" s="152">
        <v>1250</v>
      </c>
      <c r="E85" s="70"/>
      <c r="F85" s="71">
        <f t="shared" si="112"/>
        <v>340</v>
      </c>
      <c r="G85" s="70"/>
      <c r="H85" s="27">
        <f t="shared" si="113"/>
        <v>3.6764705882352939</v>
      </c>
      <c r="I85" s="70"/>
      <c r="J85" s="78">
        <f t="shared" si="114"/>
        <v>2.4591776509935076E-5</v>
      </c>
      <c r="K85" s="36"/>
      <c r="L85" s="36"/>
      <c r="N85" s="132"/>
      <c r="O85" s="132"/>
      <c r="Q85" s="132"/>
      <c r="R85" s="132"/>
      <c r="S85" s="132"/>
      <c r="T85" s="113"/>
      <c r="U85" s="135"/>
      <c r="V85" s="129"/>
      <c r="W85" s="135"/>
      <c r="X85" s="124"/>
      <c r="AB85" s="152">
        <v>1875</v>
      </c>
      <c r="AC85" s="154"/>
      <c r="AD85" s="71">
        <f t="shared" si="115"/>
        <v>340</v>
      </c>
      <c r="AE85" s="70"/>
      <c r="AF85" s="71">
        <f t="shared" si="116"/>
        <v>5.5147058823529411</v>
      </c>
      <c r="AG85" s="70"/>
      <c r="AH85" s="140">
        <f t="shared" si="117"/>
        <v>3.6887664764902618E-5</v>
      </c>
      <c r="AI85" s="36"/>
      <c r="AJ85" s="36"/>
      <c r="AL85" s="96"/>
      <c r="AM85" s="132"/>
      <c r="AO85" s="132"/>
      <c r="AP85" s="96"/>
      <c r="AQ85" s="21"/>
      <c r="AR85" s="111" t="str">
        <f t="shared" si="118"/>
        <v/>
      </c>
      <c r="AS85" s="135"/>
      <c r="AT85" s="129" t="str">
        <f t="shared" si="119"/>
        <v/>
      </c>
      <c r="AU85" s="135"/>
      <c r="AV85" s="124" t="str">
        <f t="shared" si="120"/>
        <v/>
      </c>
      <c r="AZ85" s="69">
        <f t="shared" si="121"/>
        <v>3125</v>
      </c>
      <c r="BA85" s="70"/>
      <c r="BB85" s="71">
        <f t="shared" si="122"/>
        <v>9.1911764705882355</v>
      </c>
      <c r="BC85" s="70"/>
      <c r="BD85" s="78">
        <f t="shared" si="123"/>
        <v>3.0184487588138706E-5</v>
      </c>
      <c r="BE85" s="36"/>
      <c r="BF85" s="36"/>
      <c r="BH85" s="9">
        <f t="shared" si="124"/>
        <v>0</v>
      </c>
      <c r="BI85" s="21"/>
      <c r="BJ85" s="9">
        <f t="shared" si="125"/>
        <v>0</v>
      </c>
      <c r="BK85" s="21"/>
      <c r="BL85" s="113">
        <f t="shared" si="126"/>
        <v>0</v>
      </c>
      <c r="BM85" s="135"/>
      <c r="BN85" s="129"/>
      <c r="BO85" s="135"/>
      <c r="BP85" s="124"/>
    </row>
    <row r="86" spans="2:70" s="26" customFormat="1" ht="15.95" customHeight="1" x14ac:dyDescent="0.25">
      <c r="B86" s="143" t="s">
        <v>65</v>
      </c>
      <c r="D86" s="152">
        <v>10000</v>
      </c>
      <c r="E86" s="70"/>
      <c r="F86" s="71">
        <f t="shared" si="112"/>
        <v>340</v>
      </c>
      <c r="G86" s="70"/>
      <c r="H86" s="27">
        <f t="shared" si="113"/>
        <v>29.411764705882351</v>
      </c>
      <c r="I86" s="70"/>
      <c r="J86" s="78">
        <f t="shared" si="114"/>
        <v>1.9673421207948061E-4</v>
      </c>
      <c r="K86" s="36"/>
      <c r="L86" s="36"/>
      <c r="N86" s="132"/>
      <c r="O86" s="132"/>
      <c r="Q86" s="132"/>
      <c r="R86" s="132"/>
      <c r="S86" s="132"/>
      <c r="T86" s="113"/>
      <c r="U86" s="135"/>
      <c r="V86" s="129"/>
      <c r="W86" s="135"/>
      <c r="X86" s="124"/>
      <c r="AB86" s="152">
        <v>10000</v>
      </c>
      <c r="AC86" s="154"/>
      <c r="AD86" s="71">
        <f t="shared" si="115"/>
        <v>340</v>
      </c>
      <c r="AE86" s="70"/>
      <c r="AF86" s="71">
        <f t="shared" si="116"/>
        <v>29.411764705882351</v>
      </c>
      <c r="AG86" s="70"/>
      <c r="AH86" s="140">
        <f t="shared" si="117"/>
        <v>1.9673421207948061E-4</v>
      </c>
      <c r="AI86" s="36"/>
      <c r="AJ86" s="36"/>
      <c r="AL86" s="96"/>
      <c r="AM86" s="132"/>
      <c r="AO86" s="132"/>
      <c r="AP86" s="96"/>
      <c r="AQ86" s="21"/>
      <c r="AR86" s="111" t="str">
        <f t="shared" si="118"/>
        <v/>
      </c>
      <c r="AS86" s="135"/>
      <c r="AT86" s="129" t="str">
        <f t="shared" si="119"/>
        <v/>
      </c>
      <c r="AU86" s="135"/>
      <c r="AV86" s="124" t="str">
        <f t="shared" si="120"/>
        <v/>
      </c>
      <c r="AZ86" s="69">
        <f t="shared" si="121"/>
        <v>20000</v>
      </c>
      <c r="BA86" s="70"/>
      <c r="BB86" s="71">
        <f t="shared" si="122"/>
        <v>58.823529411764703</v>
      </c>
      <c r="BC86" s="70"/>
      <c r="BD86" s="78">
        <f t="shared" si="123"/>
        <v>1.9318072056408769E-4</v>
      </c>
      <c r="BE86" s="36"/>
      <c r="BF86" s="36"/>
      <c r="BH86" s="9">
        <f t="shared" si="124"/>
        <v>0</v>
      </c>
      <c r="BI86" s="21"/>
      <c r="BJ86" s="9">
        <f t="shared" si="125"/>
        <v>0</v>
      </c>
      <c r="BK86" s="21"/>
      <c r="BL86" s="113">
        <f t="shared" si="126"/>
        <v>0</v>
      </c>
      <c r="BM86" s="135"/>
      <c r="BN86" s="129"/>
      <c r="BO86" s="135"/>
      <c r="BP86" s="124"/>
    </row>
    <row r="87" spans="2:70" s="26" customFormat="1" ht="15.95" customHeight="1" x14ac:dyDescent="0.25">
      <c r="B87" s="143" t="s">
        <v>66</v>
      </c>
      <c r="D87" s="152">
        <v>12000</v>
      </c>
      <c r="E87" s="70"/>
      <c r="F87" s="71">
        <f t="shared" si="112"/>
        <v>340</v>
      </c>
      <c r="G87" s="70"/>
      <c r="H87" s="27">
        <f t="shared" si="113"/>
        <v>35.294117647058826</v>
      </c>
      <c r="I87" s="70"/>
      <c r="J87" s="78">
        <f t="shared" si="114"/>
        <v>2.3608105449537676E-4</v>
      </c>
      <c r="K87" s="36"/>
      <c r="L87" s="36"/>
      <c r="N87" s="132"/>
      <c r="O87" s="132"/>
      <c r="Q87" s="132"/>
      <c r="R87" s="132"/>
      <c r="S87" s="132"/>
      <c r="T87" s="113"/>
      <c r="U87" s="135"/>
      <c r="V87" s="129"/>
      <c r="W87" s="135"/>
      <c r="X87" s="124"/>
      <c r="AB87" s="152">
        <v>18000</v>
      </c>
      <c r="AC87" s="154"/>
      <c r="AD87" s="71">
        <f t="shared" si="115"/>
        <v>340</v>
      </c>
      <c r="AE87" s="70"/>
      <c r="AF87" s="71">
        <f t="shared" si="116"/>
        <v>52.941176470588232</v>
      </c>
      <c r="AG87" s="70"/>
      <c r="AH87" s="140">
        <f t="shared" si="117"/>
        <v>3.5412158174306512E-4</v>
      </c>
      <c r="AI87" s="36"/>
      <c r="AJ87" s="36"/>
      <c r="AL87" s="96"/>
      <c r="AM87" s="132"/>
      <c r="AO87" s="132"/>
      <c r="AP87" s="96"/>
      <c r="AQ87" s="21"/>
      <c r="AR87" s="111" t="str">
        <f t="shared" si="118"/>
        <v/>
      </c>
      <c r="AS87" s="135"/>
      <c r="AT87" s="129" t="str">
        <f t="shared" si="119"/>
        <v/>
      </c>
      <c r="AU87" s="135"/>
      <c r="AV87" s="124" t="str">
        <f t="shared" si="120"/>
        <v/>
      </c>
      <c r="AZ87" s="69">
        <f t="shared" si="121"/>
        <v>30000</v>
      </c>
      <c r="BA87" s="70"/>
      <c r="BB87" s="71">
        <f t="shared" si="122"/>
        <v>88.235294117647058</v>
      </c>
      <c r="BC87" s="70"/>
      <c r="BD87" s="78">
        <f t="shared" si="123"/>
        <v>2.8977108084613158E-4</v>
      </c>
      <c r="BE87" s="36"/>
      <c r="BF87" s="36"/>
      <c r="BH87" s="9">
        <f t="shared" si="124"/>
        <v>0</v>
      </c>
      <c r="BI87" s="21"/>
      <c r="BJ87" s="9">
        <f t="shared" si="125"/>
        <v>0</v>
      </c>
      <c r="BK87" s="21"/>
      <c r="BL87" s="113">
        <f t="shared" si="126"/>
        <v>0</v>
      </c>
      <c r="BM87" s="135"/>
      <c r="BN87" s="129"/>
      <c r="BO87" s="135"/>
      <c r="BP87" s="124"/>
    </row>
    <row r="88" spans="2:70" s="26" customFormat="1" ht="15.95" customHeight="1" x14ac:dyDescent="0.25">
      <c r="B88" s="143" t="s">
        <v>68</v>
      </c>
      <c r="D88" s="152">
        <v>4000</v>
      </c>
      <c r="E88" s="70"/>
      <c r="F88" s="71">
        <f t="shared" si="112"/>
        <v>340</v>
      </c>
      <c r="G88" s="70"/>
      <c r="H88" s="27">
        <f t="shared" si="113"/>
        <v>11.764705882352942</v>
      </c>
      <c r="I88" s="70"/>
      <c r="J88" s="78">
        <f t="shared" si="114"/>
        <v>7.8693684831792254E-5</v>
      </c>
      <c r="K88" s="36"/>
      <c r="L88" s="36"/>
      <c r="N88" s="132"/>
      <c r="O88" s="132"/>
      <c r="Q88" s="132"/>
      <c r="R88" s="132"/>
      <c r="S88" s="132"/>
      <c r="T88" s="113"/>
      <c r="U88" s="135"/>
      <c r="V88" s="129"/>
      <c r="W88" s="135"/>
      <c r="X88" s="124"/>
      <c r="AB88" s="152">
        <v>6000</v>
      </c>
      <c r="AC88" s="154"/>
      <c r="AD88" s="71">
        <f t="shared" si="115"/>
        <v>340</v>
      </c>
      <c r="AE88" s="70"/>
      <c r="AF88" s="71">
        <f t="shared" si="116"/>
        <v>17.647058823529413</v>
      </c>
      <c r="AG88" s="70"/>
      <c r="AH88" s="140">
        <f t="shared" si="117"/>
        <v>1.1804052724768838E-4</v>
      </c>
      <c r="AI88" s="36"/>
      <c r="AJ88" s="36"/>
      <c r="AL88" s="96"/>
      <c r="AM88" s="132"/>
      <c r="AO88" s="132"/>
      <c r="AP88" s="96"/>
      <c r="AQ88" s="21"/>
      <c r="AR88" s="111" t="str">
        <f t="shared" si="118"/>
        <v/>
      </c>
      <c r="AS88" s="135"/>
      <c r="AT88" s="129" t="str">
        <f t="shared" si="119"/>
        <v/>
      </c>
      <c r="AU88" s="135"/>
      <c r="AV88" s="124" t="str">
        <f t="shared" si="120"/>
        <v/>
      </c>
      <c r="AZ88" s="69">
        <f t="shared" si="121"/>
        <v>10000</v>
      </c>
      <c r="BA88" s="70"/>
      <c r="BB88" s="71">
        <f t="shared" si="122"/>
        <v>29.411764705882355</v>
      </c>
      <c r="BC88" s="70"/>
      <c r="BD88" s="78">
        <f t="shared" si="123"/>
        <v>9.6590360282043858E-5</v>
      </c>
      <c r="BE88" s="36"/>
      <c r="BF88" s="36"/>
      <c r="BH88" s="9">
        <f t="shared" si="124"/>
        <v>0</v>
      </c>
      <c r="BI88" s="21"/>
      <c r="BJ88" s="9">
        <f t="shared" si="125"/>
        <v>0</v>
      </c>
      <c r="BK88" s="21"/>
      <c r="BL88" s="113">
        <f t="shared" si="126"/>
        <v>0</v>
      </c>
      <c r="BM88" s="135"/>
      <c r="BN88" s="129"/>
      <c r="BO88" s="135"/>
      <c r="BP88" s="124"/>
    </row>
    <row r="89" spans="2:70" s="26" customFormat="1" ht="15.95" customHeight="1" x14ac:dyDescent="0.25">
      <c r="B89" s="143" t="s">
        <v>67</v>
      </c>
      <c r="D89" s="152">
        <v>100000</v>
      </c>
      <c r="E89" s="70"/>
      <c r="F89" s="71">
        <f t="shared" si="112"/>
        <v>340</v>
      </c>
      <c r="G89" s="70"/>
      <c r="H89" s="27">
        <f t="shared" si="113"/>
        <v>294.11764705882354</v>
      </c>
      <c r="I89" s="70"/>
      <c r="J89" s="78">
        <f t="shared" si="114"/>
        <v>1.9673421207948064E-3</v>
      </c>
      <c r="K89" s="36"/>
      <c r="L89" s="36"/>
      <c r="N89" s="132"/>
      <c r="O89" s="132"/>
      <c r="Q89" s="132"/>
      <c r="R89" s="132"/>
      <c r="S89" s="132"/>
      <c r="T89" s="113"/>
      <c r="U89" s="135"/>
      <c r="V89" s="129"/>
      <c r="W89" s="135"/>
      <c r="X89" s="124"/>
      <c r="AB89" s="152">
        <v>100000</v>
      </c>
      <c r="AC89" s="154"/>
      <c r="AD89" s="71">
        <f t="shared" si="115"/>
        <v>340</v>
      </c>
      <c r="AE89" s="70"/>
      <c r="AF89" s="71">
        <f t="shared" si="116"/>
        <v>294.11764705882354</v>
      </c>
      <c r="AG89" s="70"/>
      <c r="AH89" s="140">
        <f t="shared" si="117"/>
        <v>1.9673421207948064E-3</v>
      </c>
      <c r="AI89" s="36"/>
      <c r="AJ89" s="36"/>
      <c r="AL89" s="96"/>
      <c r="AM89" s="132"/>
      <c r="AO89" s="132"/>
      <c r="AP89" s="96"/>
      <c r="AQ89" s="21"/>
      <c r="AR89" s="111" t="str">
        <f t="shared" si="118"/>
        <v/>
      </c>
      <c r="AS89" s="135"/>
      <c r="AT89" s="129" t="str">
        <f t="shared" si="119"/>
        <v/>
      </c>
      <c r="AU89" s="135"/>
      <c r="AV89" s="124" t="str">
        <f t="shared" si="120"/>
        <v/>
      </c>
      <c r="AZ89" s="69">
        <f t="shared" si="121"/>
        <v>200000</v>
      </c>
      <c r="BA89" s="70"/>
      <c r="BB89" s="71">
        <f t="shared" si="122"/>
        <v>588.23529411764707</v>
      </c>
      <c r="BC89" s="70"/>
      <c r="BD89" s="78">
        <f t="shared" si="123"/>
        <v>1.9318072056408772E-3</v>
      </c>
      <c r="BE89" s="36"/>
      <c r="BF89" s="36"/>
      <c r="BH89" s="9">
        <f t="shared" si="124"/>
        <v>0</v>
      </c>
      <c r="BI89" s="21"/>
      <c r="BJ89" s="9">
        <f t="shared" si="125"/>
        <v>0</v>
      </c>
      <c r="BK89" s="21"/>
      <c r="BL89" s="113">
        <f t="shared" si="126"/>
        <v>0</v>
      </c>
      <c r="BM89" s="135"/>
      <c r="BN89" s="129"/>
      <c r="BO89" s="135"/>
      <c r="BP89" s="124"/>
    </row>
    <row r="90" spans="2:70" s="26" customFormat="1" ht="15.95" customHeight="1" x14ac:dyDescent="0.25">
      <c r="B90" s="143" t="s">
        <v>69</v>
      </c>
      <c r="D90" s="152">
        <v>10000</v>
      </c>
      <c r="E90" s="70"/>
      <c r="F90" s="71">
        <f t="shared" si="112"/>
        <v>340</v>
      </c>
      <c r="G90" s="70"/>
      <c r="H90" s="27">
        <f t="shared" si="113"/>
        <v>29.411764705882351</v>
      </c>
      <c r="I90" s="70"/>
      <c r="J90" s="78">
        <f t="shared" si="114"/>
        <v>1.9673421207948061E-4</v>
      </c>
      <c r="K90" s="36"/>
      <c r="L90" s="36"/>
      <c r="N90" s="132"/>
      <c r="O90" s="132"/>
      <c r="Q90" s="132"/>
      <c r="R90" s="132"/>
      <c r="S90" s="132"/>
      <c r="T90" s="113"/>
      <c r="U90" s="135"/>
      <c r="V90" s="129"/>
      <c r="W90" s="135"/>
      <c r="X90" s="124"/>
      <c r="AB90" s="152">
        <v>15000</v>
      </c>
      <c r="AC90" s="154"/>
      <c r="AD90" s="71">
        <f t="shared" si="115"/>
        <v>340</v>
      </c>
      <c r="AE90" s="70"/>
      <c r="AF90" s="71">
        <f t="shared" si="116"/>
        <v>44.117647058823529</v>
      </c>
      <c r="AG90" s="70"/>
      <c r="AH90" s="140">
        <f t="shared" si="117"/>
        <v>2.9510131811922094E-4</v>
      </c>
      <c r="AI90" s="36"/>
      <c r="AJ90" s="36"/>
      <c r="AL90" s="96"/>
      <c r="AM90" s="132"/>
      <c r="AO90" s="132"/>
      <c r="AP90" s="96"/>
      <c r="AQ90" s="21"/>
      <c r="AR90" s="111" t="str">
        <f t="shared" si="118"/>
        <v/>
      </c>
      <c r="AS90" s="135"/>
      <c r="AT90" s="129" t="str">
        <f t="shared" si="119"/>
        <v/>
      </c>
      <c r="AU90" s="135"/>
      <c r="AV90" s="124" t="str">
        <f t="shared" si="120"/>
        <v/>
      </c>
      <c r="AZ90" s="69">
        <f t="shared" si="121"/>
        <v>25000</v>
      </c>
      <c r="BA90" s="70"/>
      <c r="BB90" s="71">
        <f t="shared" si="122"/>
        <v>73.529411764705884</v>
      </c>
      <c r="BC90" s="70"/>
      <c r="BD90" s="78">
        <f t="shared" si="123"/>
        <v>2.4147590070510965E-4</v>
      </c>
      <c r="BE90" s="36"/>
      <c r="BF90" s="36"/>
      <c r="BH90" s="9">
        <f t="shared" si="124"/>
        <v>0</v>
      </c>
      <c r="BI90" s="21"/>
      <c r="BJ90" s="9">
        <f t="shared" si="125"/>
        <v>0</v>
      </c>
      <c r="BK90" s="21"/>
      <c r="BL90" s="113">
        <f t="shared" si="126"/>
        <v>0</v>
      </c>
      <c r="BM90" s="135"/>
      <c r="BN90" s="129"/>
      <c r="BO90" s="135"/>
      <c r="BP90" s="124"/>
    </row>
    <row r="91" spans="2:70" s="26" customFormat="1" ht="15.95" customHeight="1" x14ac:dyDescent="0.25">
      <c r="B91" s="143" t="s">
        <v>70</v>
      </c>
      <c r="D91" s="152">
        <v>2000</v>
      </c>
      <c r="E91" s="70"/>
      <c r="F91" s="71">
        <f t="shared" si="112"/>
        <v>340</v>
      </c>
      <c r="G91" s="70"/>
      <c r="H91" s="27">
        <f t="shared" si="113"/>
        <v>5.882352941176471</v>
      </c>
      <c r="I91" s="70"/>
      <c r="J91" s="78">
        <f t="shared" si="114"/>
        <v>3.9346842415896127E-5</v>
      </c>
      <c r="K91" s="36"/>
      <c r="L91" s="36"/>
      <c r="N91" s="132"/>
      <c r="O91" s="132"/>
      <c r="Q91" s="132"/>
      <c r="R91" s="132"/>
      <c r="S91" s="132"/>
      <c r="T91" s="113"/>
      <c r="U91" s="135"/>
      <c r="V91" s="129"/>
      <c r="W91" s="135"/>
      <c r="X91" s="124"/>
      <c r="AB91" s="152">
        <v>3000</v>
      </c>
      <c r="AC91" s="154"/>
      <c r="AD91" s="71">
        <f t="shared" si="115"/>
        <v>340</v>
      </c>
      <c r="AE91" s="70"/>
      <c r="AF91" s="71">
        <f t="shared" si="116"/>
        <v>8.8235294117647065</v>
      </c>
      <c r="AG91" s="70"/>
      <c r="AH91" s="140">
        <f t="shared" si="117"/>
        <v>5.9020263623844191E-5</v>
      </c>
      <c r="AI91" s="36"/>
      <c r="AJ91" s="36"/>
      <c r="AL91" s="96"/>
      <c r="AM91" s="132"/>
      <c r="AO91" s="132"/>
      <c r="AP91" s="96"/>
      <c r="AQ91" s="21"/>
      <c r="AR91" s="111" t="str">
        <f t="shared" si="118"/>
        <v/>
      </c>
      <c r="AS91" s="135"/>
      <c r="AT91" s="129" t="str">
        <f t="shared" si="119"/>
        <v/>
      </c>
      <c r="AU91" s="135"/>
      <c r="AV91" s="124" t="str">
        <f t="shared" si="120"/>
        <v/>
      </c>
      <c r="AZ91" s="69">
        <f t="shared" si="121"/>
        <v>5000</v>
      </c>
      <c r="BA91" s="70"/>
      <c r="BB91" s="71">
        <f t="shared" si="122"/>
        <v>14.705882352941178</v>
      </c>
      <c r="BC91" s="70"/>
      <c r="BD91" s="78">
        <f t="shared" si="123"/>
        <v>4.8295180141021929E-5</v>
      </c>
      <c r="BE91" s="36"/>
      <c r="BF91" s="36"/>
      <c r="BH91" s="9">
        <f t="shared" si="124"/>
        <v>0</v>
      </c>
      <c r="BI91" s="21"/>
      <c r="BJ91" s="9">
        <f t="shared" si="125"/>
        <v>0</v>
      </c>
      <c r="BK91" s="21"/>
      <c r="BL91" s="113">
        <f t="shared" si="126"/>
        <v>0</v>
      </c>
      <c r="BM91" s="135"/>
      <c r="BN91" s="129"/>
      <c r="BO91" s="135"/>
      <c r="BP91" s="124"/>
    </row>
    <row r="92" spans="2:70" s="26" customFormat="1" ht="15.95" customHeight="1" thickBot="1" x14ac:dyDescent="0.3">
      <c r="B92" s="142" t="s">
        <v>79</v>
      </c>
      <c r="D92" s="151">
        <f>SUM(D84:D91)</f>
        <v>164250</v>
      </c>
      <c r="E92" s="70"/>
      <c r="F92" s="70"/>
      <c r="G92" s="70"/>
      <c r="H92" s="136">
        <f>SUM(H84:H91)</f>
        <v>483.08823529411768</v>
      </c>
      <c r="I92" s="70"/>
      <c r="J92" s="141">
        <f>SUM(J84:J91)</f>
        <v>3.2313594334054696E-3</v>
      </c>
      <c r="K92" s="36"/>
      <c r="L92" s="36"/>
      <c r="N92" s="197">
        <v>826155</v>
      </c>
      <c r="O92" s="132"/>
      <c r="P92" s="24">
        <v>407</v>
      </c>
      <c r="Q92" s="132"/>
      <c r="R92" s="134">
        <f>N92/P92</f>
        <v>2029.8648648648648</v>
      </c>
      <c r="S92" s="132"/>
      <c r="T92" s="116">
        <f t="shared" ref="T92" si="127">R92/$R$10</f>
        <v>1.316128421749896E-2</v>
      </c>
      <c r="U92" s="135"/>
      <c r="V92" s="121">
        <f t="shared" ref="V92" si="128">R92-H92</f>
        <v>1546.776629570747</v>
      </c>
      <c r="W92" s="135"/>
      <c r="X92" s="125">
        <f t="shared" ref="X92" si="129">V92/H92</f>
        <v>3.2018511662347273</v>
      </c>
      <c r="AB92" s="151">
        <f>SUM(AB84:AB91)</f>
        <v>191375</v>
      </c>
      <c r="AC92" s="154"/>
      <c r="AD92" s="70"/>
      <c r="AE92" s="70"/>
      <c r="AF92" s="149">
        <f>SUM(AF84:AF91)</f>
        <v>562.86764705882354</v>
      </c>
      <c r="AG92" s="70"/>
      <c r="AH92" s="139">
        <f>SUM(AH84:AH91)</f>
        <v>3.7650009836710605E-3</v>
      </c>
      <c r="AI92" s="36"/>
      <c r="AJ92" s="36"/>
      <c r="AL92" s="136">
        <f>SUM(AL84:AL91)</f>
        <v>0</v>
      </c>
      <c r="AM92" s="132"/>
      <c r="AO92" s="132"/>
      <c r="AP92" s="136">
        <f>SUM(AP84:AP91)</f>
        <v>0</v>
      </c>
      <c r="AQ92" s="21"/>
      <c r="AR92" s="116">
        <f>SUM(AR84:AR91)</f>
        <v>0</v>
      </c>
      <c r="AS92" s="135"/>
      <c r="AT92" s="121">
        <f>SUM(AT84:AT91)</f>
        <v>0</v>
      </c>
      <c r="AU92" s="135"/>
      <c r="AV92" s="125" t="str">
        <f>IF(COUNT(AL84:AL91)=8,((AP92-AF92)/AF92),"")</f>
        <v/>
      </c>
      <c r="AZ92" s="151">
        <f>SUM(AZ84:AZ91)</f>
        <v>355625</v>
      </c>
      <c r="BA92" s="70"/>
      <c r="BB92" s="149">
        <f>SUM(BB84:BB91)</f>
        <v>1045.9558823529412</v>
      </c>
      <c r="BC92" s="70"/>
      <c r="BD92" s="139">
        <f>SUM(BD84:BD91)</f>
        <v>3.4349946875301845E-3</v>
      </c>
      <c r="BE92" s="36"/>
      <c r="BF92" s="36"/>
      <c r="BH92" s="134">
        <v>287000</v>
      </c>
      <c r="BI92" s="132"/>
      <c r="BJ92" s="134">
        <f t="shared" si="125"/>
        <v>2029.8648648648648</v>
      </c>
      <c r="BK92" s="132"/>
      <c r="BL92" s="116">
        <f t="shared" si="126"/>
        <v>5.1489355575802575E-3</v>
      </c>
      <c r="BM92" s="21"/>
      <c r="BN92" s="121">
        <f>BJ92-BB92</f>
        <v>983.90898251192357</v>
      </c>
      <c r="BO92" s="135"/>
      <c r="BP92" s="121">
        <f>SUM(BP84:BP91)</f>
        <v>0</v>
      </c>
      <c r="BQ92" s="135"/>
      <c r="BR92" s="172"/>
    </row>
    <row r="93" spans="2:70" s="26" customFormat="1" ht="15.95" customHeight="1" x14ac:dyDescent="0.25">
      <c r="B93" s="142"/>
      <c r="D93" s="145"/>
      <c r="E93" s="70"/>
      <c r="F93" s="70"/>
      <c r="G93" s="70"/>
      <c r="H93" s="71"/>
      <c r="I93" s="70"/>
      <c r="J93" s="78"/>
      <c r="K93" s="36"/>
      <c r="L93" s="36"/>
      <c r="N93" s="132"/>
      <c r="O93" s="132"/>
      <c r="Q93" s="132"/>
      <c r="R93" s="132"/>
      <c r="S93" s="132"/>
      <c r="T93" s="113"/>
      <c r="U93" s="135"/>
      <c r="V93" s="129"/>
      <c r="W93" s="135"/>
      <c r="X93" s="124"/>
      <c r="AB93" s="145"/>
      <c r="AC93" s="154"/>
      <c r="AD93" s="70"/>
      <c r="AE93" s="70"/>
      <c r="AF93" s="71"/>
      <c r="AG93" s="70"/>
      <c r="AH93" s="140"/>
      <c r="AI93" s="36"/>
      <c r="AJ93" s="36"/>
      <c r="AL93" s="132"/>
      <c r="AM93" s="132"/>
      <c r="AO93" s="132"/>
      <c r="AP93" s="93"/>
      <c r="AQ93" s="21"/>
      <c r="AR93" s="113"/>
      <c r="AS93" s="135"/>
      <c r="AT93" s="129"/>
      <c r="AU93" s="135"/>
      <c r="AV93" s="124"/>
      <c r="AZ93" s="145"/>
      <c r="BA93" s="70"/>
      <c r="BB93" s="71"/>
      <c r="BC93" s="70"/>
      <c r="BD93" s="140"/>
      <c r="BE93" s="36"/>
      <c r="BF93" s="36"/>
      <c r="BH93" s="132"/>
      <c r="BJ93" s="93"/>
      <c r="BK93" s="21"/>
      <c r="BL93" s="113"/>
      <c r="BM93" s="135"/>
      <c r="BN93" s="135"/>
      <c r="BO93" s="135"/>
      <c r="BP93" s="124"/>
    </row>
    <row r="94" spans="2:70" s="26" customFormat="1" ht="15.95" customHeight="1" x14ac:dyDescent="0.25">
      <c r="B94" s="142" t="s">
        <v>111</v>
      </c>
      <c r="D94" s="145"/>
      <c r="E94" s="70"/>
      <c r="F94" s="70"/>
      <c r="G94" s="70"/>
      <c r="H94" s="71"/>
      <c r="I94" s="70"/>
      <c r="J94" s="78"/>
      <c r="K94" s="36"/>
      <c r="L94" s="36"/>
      <c r="N94" s="132"/>
      <c r="O94" s="132"/>
      <c r="Q94" s="132"/>
      <c r="R94" s="132"/>
      <c r="S94" s="132"/>
      <c r="T94" s="113"/>
      <c r="U94" s="135"/>
      <c r="V94" s="129"/>
      <c r="W94" s="135"/>
      <c r="X94" s="124"/>
      <c r="AB94" s="145"/>
      <c r="AC94" s="154"/>
      <c r="AD94" s="70"/>
      <c r="AE94" s="70"/>
      <c r="AF94" s="71"/>
      <c r="AG94" s="70"/>
      <c r="AH94" s="140"/>
      <c r="AI94" s="36"/>
      <c r="AJ94" s="36"/>
      <c r="AL94" s="132"/>
      <c r="AM94" s="132"/>
      <c r="AO94" s="132"/>
      <c r="AP94" s="93"/>
      <c r="AQ94" s="21"/>
      <c r="AR94" s="113"/>
      <c r="AS94" s="135"/>
      <c r="AT94" s="129"/>
      <c r="AU94" s="135"/>
      <c r="AV94" s="124"/>
      <c r="AZ94" s="145"/>
      <c r="BA94" s="70"/>
      <c r="BB94" s="71"/>
      <c r="BC94" s="70"/>
      <c r="BD94" s="140"/>
      <c r="BE94" s="36"/>
      <c r="BF94" s="36"/>
      <c r="BH94" s="132"/>
      <c r="BJ94" s="93"/>
      <c r="BK94" s="21"/>
      <c r="BL94" s="113"/>
      <c r="BM94" s="135"/>
      <c r="BN94" s="135"/>
      <c r="BO94" s="135"/>
      <c r="BP94" s="124"/>
    </row>
    <row r="95" spans="2:70" s="26" customFormat="1" ht="15.95" customHeight="1" x14ac:dyDescent="0.25">
      <c r="B95" s="200" t="s">
        <v>94</v>
      </c>
      <c r="D95" s="97">
        <v>11000</v>
      </c>
      <c r="E95" s="70"/>
      <c r="F95" s="24">
        <v>407</v>
      </c>
      <c r="G95" s="70"/>
      <c r="H95" s="27">
        <f t="shared" ref="H95:H96" si="130">D95/F95</f>
        <v>27.027027027027028</v>
      </c>
      <c r="I95" s="70"/>
      <c r="J95" s="78">
        <f t="shared" ref="J95:J96" si="131">H95/$H$10</f>
        <v>1.8078278947844165E-4</v>
      </c>
      <c r="K95" s="36"/>
      <c r="L95" s="36"/>
      <c r="N95" s="96">
        <v>11000</v>
      </c>
      <c r="O95" s="132"/>
      <c r="P95" s="24">
        <v>407</v>
      </c>
      <c r="Q95" s="132"/>
      <c r="R95" s="132">
        <f>N95/P95</f>
        <v>27.027027027027028</v>
      </c>
      <c r="S95" s="132"/>
      <c r="T95" s="113">
        <f t="shared" ref="T95:T96" si="132">R95/$R$10</f>
        <v>1.7523845572863273E-4</v>
      </c>
      <c r="U95" s="135"/>
      <c r="V95" s="129">
        <f t="shared" ref="V95:V96" si="133">R95-H95</f>
        <v>0</v>
      </c>
      <c r="W95" s="135"/>
      <c r="X95" s="124">
        <f t="shared" ref="X95:X96" si="134">V95/H95</f>
        <v>0</v>
      </c>
      <c r="AB95" s="97">
        <v>11000</v>
      </c>
      <c r="AC95" s="70"/>
      <c r="AD95" s="24">
        <v>407</v>
      </c>
      <c r="AE95" s="70"/>
      <c r="AF95" s="27">
        <f t="shared" ref="AF95:AF96" si="135">AB95/AD95</f>
        <v>27.027027027027028</v>
      </c>
      <c r="AG95" s="70"/>
      <c r="AH95" s="78">
        <f t="shared" ref="AH95:AH96" si="136">AF95/$H$10</f>
        <v>1.8078278947844165E-4</v>
      </c>
      <c r="AI95" s="36"/>
      <c r="AJ95" s="36"/>
      <c r="AL95" s="96"/>
      <c r="AM95" s="132"/>
      <c r="AO95" s="132"/>
      <c r="AP95" s="96"/>
      <c r="AQ95" s="21"/>
      <c r="AR95" s="113" t="str">
        <f t="shared" ref="AR95:AR96" si="137">IF(AP95="","",AP95/AP$10)</f>
        <v/>
      </c>
      <c r="AS95" s="135"/>
      <c r="AT95" s="129" t="str">
        <f t="shared" ref="AT95:AT96" si="138">IF(AP95="","",AP95-AF95)</f>
        <v/>
      </c>
      <c r="AU95" s="135"/>
      <c r="AV95" s="124" t="str">
        <f t="shared" ref="AV95:AV96" si="139">IF(AP95=0,"",((AP95-AF95)/AF95))</f>
        <v/>
      </c>
      <c r="AZ95" s="145"/>
      <c r="BA95" s="70"/>
      <c r="BB95" s="71"/>
      <c r="BC95" s="70"/>
      <c r="BD95" s="140"/>
      <c r="BE95" s="36"/>
      <c r="BF95" s="36"/>
      <c r="BH95" s="9">
        <f t="shared" ref="BH95:BH96" si="140">AL95+N95</f>
        <v>11000</v>
      </c>
      <c r="BI95" s="21"/>
      <c r="BJ95" s="9">
        <f t="shared" ref="BJ95:BJ97" si="141">AP95+R95</f>
        <v>27.027027027027028</v>
      </c>
      <c r="BK95" s="21"/>
      <c r="BL95" s="113">
        <f t="shared" ref="BL95:BL96" si="142">BJ95/$BJ$10</f>
        <v>6.855649500805882E-5</v>
      </c>
      <c r="BM95" s="135"/>
      <c r="BN95" s="129"/>
      <c r="BO95" s="135"/>
      <c r="BP95" s="124" t="str">
        <f t="shared" ref="BP95:BP96" si="143">IF(AZ95=0,"",((BJ95-BB95)/BB95))</f>
        <v/>
      </c>
    </row>
    <row r="96" spans="2:70" s="26" customFormat="1" ht="15.95" customHeight="1" x14ac:dyDescent="0.25">
      <c r="B96" s="200" t="s">
        <v>95</v>
      </c>
      <c r="D96" s="97">
        <v>407000</v>
      </c>
      <c r="E96" s="70"/>
      <c r="F96" s="24">
        <v>407</v>
      </c>
      <c r="G96" s="70"/>
      <c r="H96" s="27">
        <f t="shared" si="130"/>
        <v>1000</v>
      </c>
      <c r="I96" s="70"/>
      <c r="J96" s="78">
        <f t="shared" si="131"/>
        <v>6.688963210702341E-3</v>
      </c>
      <c r="K96" s="36"/>
      <c r="L96" s="36"/>
      <c r="N96" s="96">
        <v>407000</v>
      </c>
      <c r="O96" s="132"/>
      <c r="P96" s="24">
        <v>407</v>
      </c>
      <c r="Q96" s="132"/>
      <c r="R96" s="132">
        <f>N96/P96</f>
        <v>1000</v>
      </c>
      <c r="S96" s="132"/>
      <c r="T96" s="113">
        <f t="shared" si="132"/>
        <v>6.4838228619594112E-3</v>
      </c>
      <c r="U96" s="135"/>
      <c r="V96" s="129">
        <f t="shared" si="133"/>
        <v>0</v>
      </c>
      <c r="W96" s="135"/>
      <c r="X96" s="124">
        <f t="shared" si="134"/>
        <v>0</v>
      </c>
      <c r="AB96" s="97">
        <v>407000</v>
      </c>
      <c r="AC96" s="70"/>
      <c r="AD96" s="24">
        <v>407</v>
      </c>
      <c r="AE96" s="70"/>
      <c r="AF96" s="27">
        <f t="shared" si="135"/>
        <v>1000</v>
      </c>
      <c r="AG96" s="70"/>
      <c r="AH96" s="78">
        <f t="shared" si="136"/>
        <v>6.688963210702341E-3</v>
      </c>
      <c r="AI96" s="36"/>
      <c r="AJ96" s="36"/>
      <c r="AL96" s="96"/>
      <c r="AM96" s="132"/>
      <c r="AO96" s="132"/>
      <c r="AP96" s="96"/>
      <c r="AQ96" s="21"/>
      <c r="AR96" s="113" t="str">
        <f t="shared" si="137"/>
        <v/>
      </c>
      <c r="AS96" s="135"/>
      <c r="AT96" s="129" t="str">
        <f t="shared" si="138"/>
        <v/>
      </c>
      <c r="AU96" s="135"/>
      <c r="AV96" s="124" t="str">
        <f t="shared" si="139"/>
        <v/>
      </c>
      <c r="AZ96" s="145"/>
      <c r="BA96" s="70"/>
      <c r="BB96" s="71"/>
      <c r="BC96" s="70"/>
      <c r="BD96" s="140"/>
      <c r="BE96" s="36"/>
      <c r="BF96" s="36"/>
      <c r="BH96" s="9">
        <f t="shared" si="140"/>
        <v>407000</v>
      </c>
      <c r="BI96" s="21"/>
      <c r="BJ96" s="9">
        <f t="shared" si="141"/>
        <v>1000</v>
      </c>
      <c r="BK96" s="21"/>
      <c r="BL96" s="113">
        <f t="shared" si="142"/>
        <v>2.536590315298176E-3</v>
      </c>
      <c r="BM96" s="135"/>
      <c r="BN96" s="129"/>
      <c r="BO96" s="135"/>
      <c r="BP96" s="124" t="str">
        <f t="shared" si="143"/>
        <v/>
      </c>
    </row>
    <row r="97" spans="1:69" s="26" customFormat="1" ht="15.95" customHeight="1" thickBot="1" x14ac:dyDescent="0.3">
      <c r="B97" s="142" t="s">
        <v>110</v>
      </c>
      <c r="D97" s="225">
        <f>SUM(D95:D96)</f>
        <v>418000</v>
      </c>
      <c r="E97" s="70"/>
      <c r="F97" s="70"/>
      <c r="G97" s="70"/>
      <c r="H97" s="136">
        <f>SUM(H95:H96)</f>
        <v>1027.0270270270271</v>
      </c>
      <c r="I97" s="70"/>
      <c r="J97" s="141">
        <f>SUM(J89:J96)</f>
        <v>1.2304528608876436E-2</v>
      </c>
      <c r="K97" s="36"/>
      <c r="L97" s="36"/>
      <c r="N97" s="134">
        <f>SUM(N95:N96)</f>
        <v>418000</v>
      </c>
      <c r="O97" s="132"/>
      <c r="P97" s="24"/>
      <c r="Q97" s="132"/>
      <c r="R97" s="134">
        <f>SUM(R95:R96)</f>
        <v>1027.0270270270271</v>
      </c>
      <c r="S97" s="132"/>
      <c r="T97" s="116">
        <f>SUM(T95:T96)</f>
        <v>6.6590613176880442E-3</v>
      </c>
      <c r="U97" s="135"/>
      <c r="V97" s="121">
        <f>SUM(V95:V96)</f>
        <v>0</v>
      </c>
      <c r="W97" s="135"/>
      <c r="X97" s="125">
        <f>V97/H97</f>
        <v>0</v>
      </c>
      <c r="AB97" s="225">
        <f>SUM(AB95:AB96)</f>
        <v>418000</v>
      </c>
      <c r="AC97" s="70"/>
      <c r="AD97" s="70"/>
      <c r="AE97" s="70"/>
      <c r="AF97" s="136">
        <f>SUM(AF95:AF96)</f>
        <v>1027.0270270270271</v>
      </c>
      <c r="AG97" s="70"/>
      <c r="AH97" s="141">
        <f>SUM(AH89:AH96)</f>
        <v>1.2956210686389715E-2</v>
      </c>
      <c r="AI97" s="36"/>
      <c r="AJ97" s="36"/>
      <c r="AL97" s="134">
        <f>SUM(AL95:AL96)</f>
        <v>0</v>
      </c>
      <c r="AM97" s="132"/>
      <c r="AO97" s="132"/>
      <c r="AP97" s="134">
        <f>SUM(AP95:AP96)</f>
        <v>0</v>
      </c>
      <c r="AQ97" s="21"/>
      <c r="AR97" s="116">
        <f>SUM(AR95:AR96)</f>
        <v>0</v>
      </c>
      <c r="AS97" s="135"/>
      <c r="AT97" s="121">
        <f>SUM(AT95:AT96)</f>
        <v>0</v>
      </c>
      <c r="AU97" s="135"/>
      <c r="AV97" s="172" t="str">
        <f>IF(COUNT(AL95:AL96)=2,((AP97-AF97)/AF97),"")</f>
        <v/>
      </c>
      <c r="AZ97" s="145"/>
      <c r="BA97" s="70"/>
      <c r="BB97" s="71"/>
      <c r="BC97" s="70"/>
      <c r="BD97" s="140"/>
      <c r="BE97" s="36"/>
      <c r="BF97" s="36"/>
      <c r="BH97" s="134">
        <f>SUM(BH95:BH96)</f>
        <v>418000</v>
      </c>
      <c r="BI97" s="132"/>
      <c r="BJ97" s="134">
        <f t="shared" si="141"/>
        <v>1027.0270270270271</v>
      </c>
      <c r="BK97" s="132"/>
      <c r="BL97" s="223">
        <f>SUM(BL95:BL96)</f>
        <v>2.6051468103062349E-3</v>
      </c>
      <c r="BM97" s="21"/>
      <c r="BN97" s="121">
        <f>BJ97-BB97</f>
        <v>1027.0270270270271</v>
      </c>
      <c r="BO97" s="135"/>
      <c r="BP97" s="121">
        <f>SUM(BP95:BP96)</f>
        <v>0</v>
      </c>
    </row>
    <row r="98" spans="1:69" s="26" customFormat="1" ht="15.95" customHeight="1" x14ac:dyDescent="0.25">
      <c r="B98" s="41"/>
      <c r="D98" s="155"/>
      <c r="E98" s="70"/>
      <c r="F98" s="70"/>
      <c r="G98" s="70"/>
      <c r="H98" s="71"/>
      <c r="I98" s="70"/>
      <c r="J98" s="78"/>
      <c r="K98" s="36"/>
      <c r="L98" s="36"/>
      <c r="N98" s="132"/>
      <c r="O98" s="132"/>
      <c r="Q98" s="132"/>
      <c r="R98" s="132"/>
      <c r="S98" s="132"/>
      <c r="T98" s="113"/>
      <c r="U98" s="135"/>
      <c r="V98" s="129"/>
      <c r="W98" s="135"/>
      <c r="X98" s="124"/>
      <c r="AB98" s="155"/>
      <c r="AC98" s="132"/>
      <c r="AD98" s="70"/>
      <c r="AE98" s="70"/>
      <c r="AF98" s="71"/>
      <c r="AG98" s="70"/>
      <c r="AH98" s="78"/>
      <c r="AI98" s="36"/>
      <c r="AJ98" s="36"/>
      <c r="AL98" s="132"/>
      <c r="AM98" s="132"/>
      <c r="AO98" s="132"/>
      <c r="AP98" s="93"/>
      <c r="AQ98" s="21"/>
      <c r="AR98" s="113"/>
      <c r="AS98" s="135"/>
      <c r="AT98" s="129"/>
      <c r="AU98" s="135"/>
      <c r="AV98" s="124"/>
      <c r="AZ98" s="69"/>
      <c r="BA98" s="70"/>
      <c r="BB98" s="71"/>
      <c r="BC98" s="70"/>
      <c r="BD98" s="78"/>
      <c r="BE98" s="36"/>
      <c r="BF98" s="36"/>
      <c r="BH98" s="132"/>
      <c r="BJ98" s="93"/>
      <c r="BK98" s="21"/>
      <c r="BL98" s="113"/>
      <c r="BM98" s="135"/>
      <c r="BN98" s="135"/>
      <c r="BO98" s="135"/>
      <c r="BP98" s="124"/>
    </row>
    <row r="99" spans="1:69" s="5" customFormat="1" ht="15.95" customHeight="1" thickBot="1" x14ac:dyDescent="0.3">
      <c r="A99" s="25"/>
      <c r="B99" s="199" t="s">
        <v>101</v>
      </c>
      <c r="D99" s="72">
        <f>D97+D92+D81+D77+D70</f>
        <v>3198750</v>
      </c>
      <c r="E99" s="26"/>
      <c r="F99" s="26"/>
      <c r="G99" s="26"/>
      <c r="H99" s="28">
        <f>H97+H92+H81+H77+H70</f>
        <v>9205.7034976152627</v>
      </c>
      <c r="I99" s="27"/>
      <c r="J99" s="73">
        <f>J92+J81+J77+J70</f>
        <v>5.4706866024001571E-2</v>
      </c>
      <c r="K99" s="37"/>
      <c r="L99" s="52">
        <f>H99/H$118</f>
        <v>4.8893073175054133E-2</v>
      </c>
      <c r="N99" s="136">
        <f>N97+N92+N81+N77+N70</f>
        <v>3280733</v>
      </c>
      <c r="O99" s="132"/>
      <c r="P99" s="26"/>
      <c r="Q99" s="132"/>
      <c r="R99" s="136">
        <f>R97+R92+R81+R77+R70</f>
        <v>8060.7690417690419</v>
      </c>
      <c r="S99" s="27"/>
      <c r="T99" s="226">
        <f>T97+T92+T81+T77+T70</f>
        <v>5.2264598597996773E-2</v>
      </c>
      <c r="U99" s="25"/>
      <c r="V99" s="219">
        <f>V97+V92+V81+V77+V70</f>
        <v>-1144.934455846221</v>
      </c>
      <c r="W99" s="135"/>
      <c r="X99" s="125">
        <f t="shared" ref="X99" si="144">V99/H99</f>
        <v>-0.12437229334431814</v>
      </c>
      <c r="Y99" s="25"/>
      <c r="AB99" s="72">
        <f>AB97+AB92+AB81+AB77+AB70</f>
        <v>4437575</v>
      </c>
      <c r="AC99" s="132"/>
      <c r="AD99" s="26"/>
      <c r="AE99" s="26"/>
      <c r="AF99" s="136">
        <f>AF97+AF92+AF81+AF77+AF70</f>
        <v>12849.306438791733</v>
      </c>
      <c r="AG99" s="27"/>
      <c r="AH99" s="73">
        <f>AH97+AH92+AH81+AH77+AH70</f>
        <v>9.2035002738327543E-2</v>
      </c>
      <c r="AI99" s="37"/>
      <c r="AJ99" s="52">
        <f>AF99/AF$118</f>
        <v>4.8097566812604541E-2</v>
      </c>
      <c r="AK99" s="25"/>
      <c r="AL99" s="136">
        <f>AL97+AL92+AL81+AL77+AL70</f>
        <v>0</v>
      </c>
      <c r="AM99" s="132"/>
      <c r="AN99" s="26"/>
      <c r="AO99" s="132"/>
      <c r="AP99" s="136">
        <f>AP97+AP92+AP81+AP77+AP70</f>
        <v>0</v>
      </c>
      <c r="AQ99" s="27"/>
      <c r="AR99" s="157">
        <f>AR97+AR92+AR81+AR77+AR70</f>
        <v>0</v>
      </c>
      <c r="AS99" s="25"/>
      <c r="AT99" s="219">
        <f>AT97+AT92+AT81+AT77+AT70</f>
        <v>0</v>
      </c>
      <c r="AU99" s="25"/>
      <c r="AV99" s="125">
        <f t="shared" ref="AV99" si="145">AT99/AF99</f>
        <v>0</v>
      </c>
      <c r="AW99" s="25"/>
      <c r="AX99" s="25"/>
      <c r="AY99" s="16"/>
      <c r="AZ99" s="72">
        <f>AZ92+AZ81+AZ77+AZ70</f>
        <v>6800325</v>
      </c>
      <c r="BA99" s="26"/>
      <c r="BB99" s="136">
        <f>BB92+BB81+BB77+BB70</f>
        <v>20000.955882352944</v>
      </c>
      <c r="BC99" s="27"/>
      <c r="BD99" s="73">
        <f>BD92+BD81+BD77+BD70</f>
        <v>6.5684584178498984E-2</v>
      </c>
      <c r="BE99" s="37"/>
      <c r="BF99" s="52">
        <f>BB99/BB$118</f>
        <v>4.4115294720490132E-2</v>
      </c>
      <c r="BG99" s="25"/>
      <c r="BH99" s="136">
        <f>BH97+BH92+BH81+BH77+BH70</f>
        <v>1566000</v>
      </c>
      <c r="BI99" s="26"/>
      <c r="BJ99" s="136">
        <f>BJ97+BJ92+BJ81+BJ77+BJ70</f>
        <v>8060.7690417690419</v>
      </c>
      <c r="BK99" s="27"/>
      <c r="BL99" s="157">
        <f>BL97+BL92+BL81+BL77+BL70</f>
        <v>2.0446868685206714E-2</v>
      </c>
      <c r="BM99" s="25"/>
      <c r="BN99" s="25"/>
      <c r="BO99" s="25"/>
      <c r="BP99" s="125" t="str">
        <f>IF(COUNT(#REF!)=6,((BH99-AZ99)/AZ99),"")</f>
        <v/>
      </c>
      <c r="BQ99" s="25"/>
    </row>
    <row r="100" spans="1:69" s="5" customFormat="1" ht="15.95" customHeight="1" x14ac:dyDescent="0.25">
      <c r="A100" s="25"/>
      <c r="B100" s="10"/>
      <c r="D100" s="79"/>
      <c r="E100" s="26"/>
      <c r="F100" s="26"/>
      <c r="G100" s="26"/>
      <c r="H100" s="26"/>
      <c r="I100" s="26"/>
      <c r="J100" s="80"/>
      <c r="K100" s="25"/>
      <c r="L100" s="25"/>
      <c r="N100" s="93"/>
      <c r="O100" s="93"/>
      <c r="P100" s="26"/>
      <c r="Q100" s="93"/>
      <c r="R100" s="93"/>
      <c r="S100" s="93"/>
      <c r="T100" s="118"/>
      <c r="U100" s="25"/>
      <c r="V100" s="130"/>
      <c r="X100" s="127"/>
      <c r="Y100" s="25"/>
      <c r="AB100" s="79"/>
      <c r="AC100" s="26"/>
      <c r="AD100" s="26"/>
      <c r="AE100" s="26"/>
      <c r="AF100" s="26"/>
      <c r="AG100" s="26"/>
      <c r="AH100" s="80"/>
      <c r="AI100" s="25"/>
      <c r="AJ100" s="25"/>
      <c r="AK100" s="25"/>
      <c r="AL100" s="93"/>
      <c r="AM100" s="93"/>
      <c r="AN100" s="26"/>
      <c r="AO100" s="93"/>
      <c r="AP100" s="93"/>
      <c r="AQ100" s="26"/>
      <c r="AR100" s="118"/>
      <c r="AS100" s="25"/>
      <c r="AT100" s="130"/>
      <c r="AU100" s="25"/>
      <c r="AV100" s="127"/>
      <c r="AW100" s="25"/>
      <c r="AX100" s="25"/>
      <c r="AY100" s="16"/>
      <c r="AZ100" s="79"/>
      <c r="BA100" s="26"/>
      <c r="BB100" s="26"/>
      <c r="BC100" s="26"/>
      <c r="BD100" s="80"/>
      <c r="BE100" s="25"/>
      <c r="BF100" s="25"/>
      <c r="BG100" s="25"/>
      <c r="BH100" s="93"/>
      <c r="BI100" s="26"/>
      <c r="BJ100" s="93"/>
      <c r="BK100" s="26"/>
      <c r="BL100" s="118"/>
      <c r="BM100" s="25"/>
      <c r="BN100" s="25"/>
      <c r="BO100" s="25"/>
      <c r="BP100" s="127"/>
      <c r="BQ100" s="25"/>
    </row>
    <row r="101" spans="1:69" ht="15.95" customHeight="1" thickBot="1" x14ac:dyDescent="0.3">
      <c r="B101" s="49" t="s">
        <v>27</v>
      </c>
      <c r="D101" s="90">
        <f>SUM(D21+D37+D56+D99)</f>
        <v>40997407.18</v>
      </c>
      <c r="E101" s="71"/>
      <c r="F101" s="71"/>
      <c r="G101" s="71"/>
      <c r="H101" s="98">
        <f>SUM(H21+H37+H56+H99)</f>
        <v>134871.67691284869</v>
      </c>
      <c r="I101" s="33"/>
      <c r="J101" s="81">
        <f>SUM(J21+J37+J56+J99)</f>
        <v>0.89528193903559627</v>
      </c>
      <c r="K101" s="38"/>
      <c r="L101" s="52">
        <f>H101/H$118</f>
        <v>0.71632665230315329</v>
      </c>
      <c r="N101" s="58">
        <f>SUM(N21+N37+N56+N99)</f>
        <v>68680066</v>
      </c>
      <c r="O101" s="17"/>
      <c r="P101" s="71"/>
      <c r="Q101" s="17"/>
      <c r="R101" s="58">
        <f>SUM(R21+R37+R56+R99)</f>
        <v>181252.74201474199</v>
      </c>
      <c r="S101" s="190"/>
      <c r="T101" s="91">
        <f>SUM(T21+T37+T56+T99)</f>
        <v>1.1752106724680154</v>
      </c>
      <c r="V101" s="121">
        <f t="shared" ref="V101" si="146">R101-H101</f>
        <v>46381.065101893299</v>
      </c>
      <c r="W101" s="135"/>
      <c r="X101" s="125">
        <f t="shared" ref="X101" si="147">V101/H101</f>
        <v>0.34389032718755169</v>
      </c>
      <c r="Z101" s="3"/>
      <c r="AB101" s="90">
        <f>SUM(AB37+AB56+AB99)</f>
        <v>35037575</v>
      </c>
      <c r="AC101" s="17"/>
      <c r="AD101" s="71"/>
      <c r="AE101" s="71"/>
      <c r="AF101" s="98">
        <f>SUM(AF21+AF37+AF56+AF99)</f>
        <v>192600.30643879174</v>
      </c>
      <c r="AG101" s="33"/>
      <c r="AH101" s="81">
        <f>SUM(AH21+AH37+AH56+AH99)</f>
        <v>1.2517188737060696</v>
      </c>
      <c r="AI101" s="38"/>
      <c r="AJ101" s="52">
        <f>AF101/AF$118</f>
        <v>0.72094211085987492</v>
      </c>
      <c r="AL101" s="58">
        <f>SUM(AL37+AL56+AL99)</f>
        <v>46246668</v>
      </c>
      <c r="AM101" s="17"/>
      <c r="AN101" s="71"/>
      <c r="AO101" s="17"/>
      <c r="AP101" s="98">
        <f>SUM(AP21+AP37+AP56+AP99)</f>
        <v>189821.17690417689</v>
      </c>
      <c r="AQ101" s="33"/>
      <c r="AR101" s="91">
        <f>SUM(AR21+AR37+AR56+AR99)</f>
        <v>0.79092157043407041</v>
      </c>
      <c r="AT101" s="121">
        <f>AP101-AF101</f>
        <v>-2779.1295346148545</v>
      </c>
      <c r="AV101" s="125">
        <f t="shared" ref="AV101" si="148">AT101/AF101</f>
        <v>-1.4429517719890338E-2</v>
      </c>
      <c r="AY101" s="14"/>
      <c r="AZ101" s="90">
        <f>SUM(AZ37+AZ56+AZ99)</f>
        <v>62706382.18</v>
      </c>
      <c r="BA101" s="71"/>
      <c r="BB101" s="98">
        <f>SUM(BB21+BB37+BB56+BB99)</f>
        <v>325417.92929758638</v>
      </c>
      <c r="BC101" s="33"/>
      <c r="BD101" s="81">
        <f>SUM(BD21+BD37+BD56+BD99)</f>
        <v>1.0686959911250784</v>
      </c>
      <c r="BE101" s="38"/>
      <c r="BF101" s="52">
        <f>BB101/BB$118</f>
        <v>0.71776108815684225</v>
      </c>
      <c r="BH101" s="12">
        <f>SUM(BH37+BH56+BH99)</f>
        <v>100719401</v>
      </c>
      <c r="BI101" s="71"/>
      <c r="BJ101" s="98">
        <f>SUM(BJ21+BJ37+BJ56+BJ99)</f>
        <v>371073.91891891888</v>
      </c>
      <c r="BK101" s="33"/>
      <c r="BL101" s="91">
        <f>SUM(BL21+BL37+BL56+BL99)</f>
        <v>0.94126250898947039</v>
      </c>
      <c r="BP101" s="125" t="str">
        <f>IF(COUNT(BH25:BH99)=27,((BH101-AZ101)/AZ101),"")</f>
        <v/>
      </c>
    </row>
    <row r="102" spans="1:69" s="135" customFormat="1" ht="15.95" customHeight="1" x14ac:dyDescent="0.25">
      <c r="B102" s="42"/>
      <c r="D102" s="214"/>
      <c r="E102" s="71"/>
      <c r="F102" s="71"/>
      <c r="G102" s="71"/>
      <c r="H102" s="215"/>
      <c r="I102" s="33"/>
      <c r="J102" s="216"/>
      <c r="K102" s="38"/>
      <c r="L102" s="52"/>
      <c r="N102" s="190"/>
      <c r="O102" s="17"/>
      <c r="P102" s="71"/>
      <c r="Q102" s="17"/>
      <c r="R102" s="190"/>
      <c r="S102" s="190"/>
      <c r="T102" s="217"/>
      <c r="V102" s="171"/>
      <c r="X102" s="172"/>
      <c r="AB102" s="214"/>
      <c r="AC102" s="17"/>
      <c r="AD102" s="71"/>
      <c r="AE102" s="71"/>
      <c r="AF102" s="215"/>
      <c r="AG102" s="33"/>
      <c r="AH102" s="216"/>
      <c r="AI102" s="38"/>
      <c r="AJ102" s="52"/>
      <c r="AL102" s="190"/>
      <c r="AM102" s="17"/>
      <c r="AN102" s="71"/>
      <c r="AO102" s="17"/>
      <c r="AP102" s="215"/>
      <c r="AQ102" s="33"/>
      <c r="AR102" s="217"/>
      <c r="AT102" s="174"/>
      <c r="AV102" s="172"/>
      <c r="AZ102" s="214"/>
      <c r="BA102" s="71"/>
      <c r="BB102" s="215"/>
      <c r="BC102" s="33"/>
      <c r="BD102" s="216"/>
      <c r="BE102" s="38"/>
      <c r="BF102" s="52"/>
      <c r="BH102" s="17"/>
      <c r="BI102" s="71"/>
      <c r="BJ102" s="215"/>
      <c r="BK102" s="33"/>
      <c r="BL102" s="217"/>
      <c r="BP102" s="172"/>
    </row>
    <row r="103" spans="1:69" s="135" customFormat="1" ht="15.95" customHeight="1" thickBot="1" x14ac:dyDescent="0.3">
      <c r="B103" s="49" t="s">
        <v>106</v>
      </c>
      <c r="D103" s="90">
        <f>D101-D21</f>
        <v>28504807.18</v>
      </c>
      <c r="E103" s="71"/>
      <c r="F103" s="71"/>
      <c r="G103" s="71"/>
      <c r="H103" s="58">
        <f>H101-H21</f>
        <v>93229.676912848692</v>
      </c>
      <c r="I103" s="33"/>
      <c r="J103" s="81">
        <f>J101-J21</f>
        <v>0.61674013301552932</v>
      </c>
      <c r="K103" s="38"/>
      <c r="L103" s="52"/>
      <c r="N103" s="58">
        <f>N101-N21</f>
        <v>56187466</v>
      </c>
      <c r="O103" s="17"/>
      <c r="P103" s="71"/>
      <c r="Q103" s="17"/>
      <c r="R103" s="58">
        <f>R101-R21</f>
        <v>138052.74201474199</v>
      </c>
      <c r="S103" s="190"/>
      <c r="T103" s="218">
        <f>T101-T21</f>
        <v>0.89510952483136874</v>
      </c>
      <c r="V103" s="121">
        <f t="shared" ref="V103" si="149">R103-H103</f>
        <v>44823.065101893299</v>
      </c>
      <c r="X103" s="125">
        <f t="shared" ref="X103" si="150">V103/H103</f>
        <v>0.48078108372931505</v>
      </c>
      <c r="AB103" s="90">
        <f>AB101-AB21</f>
        <v>11712275</v>
      </c>
      <c r="AC103" s="71"/>
      <c r="AD103" s="71"/>
      <c r="AE103" s="71"/>
      <c r="AF103" s="58">
        <f>AF101-AF21</f>
        <v>114849.30643879174</v>
      </c>
      <c r="AG103" s="33"/>
      <c r="AH103" s="81">
        <f>AH101-AH21</f>
        <v>0.75009951886735993</v>
      </c>
      <c r="AI103" s="38"/>
      <c r="AJ103" s="52"/>
      <c r="AL103" s="58">
        <f>AL101-AL21</f>
        <v>23388768</v>
      </c>
      <c r="AM103" s="17"/>
      <c r="AN103" s="71"/>
      <c r="AO103" s="17"/>
      <c r="AP103" s="58">
        <f>AP101-AP21</f>
        <v>113628.17690417689</v>
      </c>
      <c r="AQ103" s="190"/>
      <c r="AR103" s="218">
        <f>AR101-AR21</f>
        <v>0.4734507371007371</v>
      </c>
      <c r="AT103" s="121">
        <f>AP103-AF103</f>
        <v>-1221.1295346148545</v>
      </c>
      <c r="AV103" s="125">
        <f t="shared" ref="AV103" si="151">AT103/AF103</f>
        <v>-1.0632450229602807E-2</v>
      </c>
      <c r="AZ103" s="90">
        <f>AZ101-AZ21</f>
        <v>26888482.18</v>
      </c>
      <c r="BA103" s="71"/>
      <c r="BB103" s="58">
        <f>BB101-BB21</f>
        <v>206024.92929758638</v>
      </c>
      <c r="BC103" s="33"/>
      <c r="BD103" s="81">
        <f>BD101-BD21</f>
        <v>0.67660075302984035</v>
      </c>
      <c r="BE103" s="38"/>
      <c r="BF103" s="52"/>
      <c r="BH103" s="58">
        <f>BH101-BH21</f>
        <v>65368901</v>
      </c>
      <c r="BI103" s="71"/>
      <c r="BJ103" s="58">
        <f>BJ101-BJ21</f>
        <v>251680.91891891888</v>
      </c>
      <c r="BK103" s="190"/>
      <c r="BL103" s="218">
        <f>BL101-BL21</f>
        <v>0.63841138147507526</v>
      </c>
      <c r="BN103" s="121">
        <f>BJ103-BB103</f>
        <v>45655.989621332497</v>
      </c>
      <c r="BP103" s="125">
        <f t="shared" ref="BP103" si="152">BN103/AZ103</f>
        <v>1.6979757100343883E-3</v>
      </c>
    </row>
    <row r="104" spans="1:69" ht="15.75" customHeight="1" x14ac:dyDescent="0.25">
      <c r="B104" s="40"/>
      <c r="D104" s="76"/>
      <c r="E104" s="21"/>
      <c r="F104" s="21"/>
      <c r="G104" s="21"/>
      <c r="H104" s="21"/>
      <c r="I104" s="21"/>
      <c r="J104" s="77"/>
      <c r="N104" s="71"/>
      <c r="O104" s="93"/>
      <c r="P104" s="21"/>
      <c r="Q104" s="93"/>
      <c r="R104" s="71"/>
      <c r="S104" s="71"/>
      <c r="T104" s="117"/>
      <c r="V104" s="128"/>
      <c r="X104" s="126"/>
      <c r="Z104" s="3"/>
      <c r="AB104" s="76"/>
      <c r="AC104" s="26"/>
      <c r="AD104" s="21"/>
      <c r="AE104" s="21"/>
      <c r="AF104" s="21"/>
      <c r="AG104" s="21"/>
      <c r="AH104" s="77"/>
      <c r="AL104" s="71"/>
      <c r="AM104" s="93"/>
      <c r="AN104" s="21"/>
      <c r="AO104" s="93"/>
      <c r="AP104" s="71"/>
      <c r="AQ104" s="21"/>
      <c r="AR104" s="117"/>
      <c r="AT104" s="128"/>
      <c r="AV104" s="126"/>
      <c r="AY104" s="14"/>
      <c r="AZ104" s="76"/>
      <c r="BA104" s="21"/>
      <c r="BB104" s="21"/>
      <c r="BC104" s="21"/>
      <c r="BD104" s="77"/>
      <c r="BH104" s="93"/>
      <c r="BI104" s="21"/>
      <c r="BJ104" s="71"/>
      <c r="BK104" s="21"/>
      <c r="BL104" s="117"/>
      <c r="BP104" s="126"/>
    </row>
    <row r="105" spans="1:69" s="5" customFormat="1" ht="15.95" customHeight="1" x14ac:dyDescent="0.25">
      <c r="A105" s="25"/>
      <c r="B105" s="10" t="s">
        <v>22</v>
      </c>
      <c r="D105" s="97">
        <v>2780750</v>
      </c>
      <c r="E105" s="70"/>
      <c r="F105" s="71">
        <f>$H$7</f>
        <v>340</v>
      </c>
      <c r="G105" s="70"/>
      <c r="H105" s="71">
        <f>H99*1.05</f>
        <v>9665.988672496027</v>
      </c>
      <c r="I105" s="70"/>
      <c r="J105" s="78">
        <f>H105/$H$10</f>
        <v>6.4655442625391482E-2</v>
      </c>
      <c r="K105" s="36"/>
      <c r="L105" s="36"/>
      <c r="N105" s="132"/>
      <c r="O105" s="132"/>
      <c r="P105" s="26"/>
      <c r="Q105" s="132"/>
      <c r="R105" s="132"/>
      <c r="S105" s="132"/>
      <c r="T105" s="118"/>
      <c r="U105" s="26"/>
      <c r="V105" s="207"/>
      <c r="W105" s="26"/>
      <c r="X105" s="208"/>
      <c r="Y105" s="25"/>
      <c r="AB105" s="97">
        <v>4019575</v>
      </c>
      <c r="AC105" s="132"/>
      <c r="AD105" s="71">
        <f>$AF$7</f>
        <v>340</v>
      </c>
      <c r="AE105" s="70"/>
      <c r="AF105" s="71">
        <f>AF99*1.05</f>
        <v>13491.771760731321</v>
      </c>
      <c r="AG105" s="70"/>
      <c r="AH105" s="78">
        <f t="shared" ref="AH105:AH106" si="153">AF105/$AF$10</f>
        <v>8.7043688778911749E-2</v>
      </c>
      <c r="AI105" s="36"/>
      <c r="AJ105" s="36"/>
      <c r="AK105" s="25"/>
      <c r="AL105" s="132"/>
      <c r="AM105" s="132"/>
      <c r="AN105" s="26"/>
      <c r="AO105" s="132"/>
      <c r="AP105" s="93"/>
      <c r="AQ105" s="26"/>
      <c r="AR105" s="118"/>
      <c r="AS105" s="20"/>
      <c r="AT105" s="129"/>
      <c r="AU105" s="20"/>
      <c r="AV105" s="124" t="str">
        <f>IF(AL105=0,"",((AL105-AB105)/AB105))</f>
        <v/>
      </c>
      <c r="AW105" s="25"/>
      <c r="AX105" s="25"/>
      <c r="AY105" s="16"/>
      <c r="AZ105" s="69">
        <f>AB105+D105</f>
        <v>6800325</v>
      </c>
      <c r="BA105" s="70"/>
      <c r="BB105" s="71">
        <f>AF105+H105</f>
        <v>23157.760433227348</v>
      </c>
      <c r="BC105" s="70"/>
      <c r="BD105" s="78">
        <f>BB105/$BB$10</f>
        <v>7.6051758401403435E-2</v>
      </c>
      <c r="BE105" s="36"/>
      <c r="BF105" s="36"/>
      <c r="BG105" s="25"/>
      <c r="BH105" s="132"/>
      <c r="BI105" s="26"/>
      <c r="BJ105" s="93"/>
      <c r="BK105" s="21"/>
      <c r="BL105" s="113"/>
      <c r="BM105" s="20"/>
      <c r="BN105" s="135"/>
      <c r="BO105" s="135"/>
      <c r="BP105" s="124"/>
      <c r="BQ105" s="25"/>
    </row>
    <row r="106" spans="1:69" s="5" customFormat="1" ht="15.95" customHeight="1" x14ac:dyDescent="0.25">
      <c r="A106" s="25"/>
      <c r="B106" s="10" t="s">
        <v>23</v>
      </c>
      <c r="D106" s="97">
        <v>2780750</v>
      </c>
      <c r="E106" s="70"/>
      <c r="F106" s="71">
        <f>$H$7</f>
        <v>340</v>
      </c>
      <c r="G106" s="70"/>
      <c r="H106" s="71">
        <f>H105*1.05</f>
        <v>10149.288106120828</v>
      </c>
      <c r="I106" s="70"/>
      <c r="J106" s="78">
        <f>H106/$H$10</f>
        <v>6.7888214756661056E-2</v>
      </c>
      <c r="K106" s="36"/>
      <c r="L106" s="36"/>
      <c r="N106" s="132"/>
      <c r="O106" s="132"/>
      <c r="P106" s="26"/>
      <c r="Q106" s="132"/>
      <c r="R106" s="132"/>
      <c r="S106" s="132"/>
      <c r="T106" s="118"/>
      <c r="U106" s="26"/>
      <c r="V106" s="207"/>
      <c r="W106" s="26"/>
      <c r="X106" s="208"/>
      <c r="Y106" s="25"/>
      <c r="AB106" s="97">
        <v>4019575</v>
      </c>
      <c r="AC106" s="132"/>
      <c r="AD106" s="71">
        <f>$AF$7</f>
        <v>340</v>
      </c>
      <c r="AE106" s="70"/>
      <c r="AF106" s="71">
        <f>AF105*1.05</f>
        <v>14166.360348767887</v>
      </c>
      <c r="AG106" s="70"/>
      <c r="AH106" s="78">
        <f t="shared" si="153"/>
        <v>9.1395873217857332E-2</v>
      </c>
      <c r="AI106" s="36"/>
      <c r="AJ106" s="36"/>
      <c r="AK106" s="25"/>
      <c r="AL106" s="132"/>
      <c r="AM106" s="132"/>
      <c r="AN106" s="26"/>
      <c r="AO106" s="132"/>
      <c r="AP106" s="93"/>
      <c r="AQ106" s="26"/>
      <c r="AR106" s="118"/>
      <c r="AS106" s="20"/>
      <c r="AT106" s="129"/>
      <c r="AU106" s="20"/>
      <c r="AV106" s="124" t="str">
        <f>IF(AL106=0,"",((AL106-AB106)/AB106))</f>
        <v/>
      </c>
      <c r="AW106" s="25"/>
      <c r="AX106" s="25"/>
      <c r="AY106" s="16"/>
      <c r="AZ106" s="69">
        <f>AB106+D106</f>
        <v>6800325</v>
      </c>
      <c r="BA106" s="70"/>
      <c r="BB106" s="71">
        <f>AF106+H106</f>
        <v>24315.648454888717</v>
      </c>
      <c r="BC106" s="70"/>
      <c r="BD106" s="78">
        <f>BB106/$BB$10</f>
        <v>7.9854346321473618E-2</v>
      </c>
      <c r="BE106" s="36"/>
      <c r="BF106" s="36"/>
      <c r="BG106" s="25"/>
      <c r="BH106" s="132"/>
      <c r="BI106" s="26"/>
      <c r="BJ106" s="93"/>
      <c r="BK106" s="21"/>
      <c r="BL106" s="113"/>
      <c r="BM106" s="20"/>
      <c r="BN106" s="135"/>
      <c r="BO106" s="135"/>
      <c r="BP106" s="124"/>
      <c r="BQ106" s="25"/>
    </row>
    <row r="107" spans="1:69" s="5" customFormat="1" ht="15.95" customHeight="1" thickBot="1" x14ac:dyDescent="0.3">
      <c r="A107" s="25"/>
      <c r="B107" s="49" t="s">
        <v>28</v>
      </c>
      <c r="D107" s="82">
        <f>SUM(D105:D106)</f>
        <v>5561500</v>
      </c>
      <c r="E107" s="26"/>
      <c r="F107" s="26"/>
      <c r="G107" s="26"/>
      <c r="H107" s="12">
        <f>SUM(H105:H106)</f>
        <v>19815.276778616855</v>
      </c>
      <c r="I107" s="17"/>
      <c r="J107" s="83">
        <f>SUM(J105:J106)</f>
        <v>0.13254365738205254</v>
      </c>
      <c r="K107" s="1"/>
      <c r="L107" s="52">
        <f>H107/H$118</f>
        <v>0.10524234000930403</v>
      </c>
      <c r="N107" s="17"/>
      <c r="O107" s="17"/>
      <c r="P107" s="26"/>
      <c r="Q107" s="17"/>
      <c r="R107" s="17"/>
      <c r="S107" s="17"/>
      <c r="T107" s="209"/>
      <c r="U107" s="26"/>
      <c r="V107" s="175"/>
      <c r="W107" s="26"/>
      <c r="X107" s="208"/>
      <c r="Y107" s="25"/>
      <c r="AB107" s="82">
        <f>SUM(AB105:AB106)</f>
        <v>8039150</v>
      </c>
      <c r="AC107" s="17"/>
      <c r="AD107" s="26"/>
      <c r="AE107" s="26"/>
      <c r="AF107" s="12">
        <f>SUM(AF105:AF106)</f>
        <v>27658.132109499209</v>
      </c>
      <c r="AG107" s="17"/>
      <c r="AH107" s="83">
        <f>SUM(AH105:AH106)</f>
        <v>0.17843956199676908</v>
      </c>
      <c r="AI107" s="1"/>
      <c r="AJ107" s="52">
        <f>AF107/AF$118</f>
        <v>0.10353001256413129</v>
      </c>
      <c r="AK107" s="25"/>
      <c r="AL107" s="17"/>
      <c r="AM107" s="17"/>
      <c r="AN107" s="26"/>
      <c r="AO107" s="17"/>
      <c r="AP107" s="17"/>
      <c r="AQ107" s="17"/>
      <c r="AR107" s="209"/>
      <c r="AS107" s="25"/>
      <c r="AT107" s="175"/>
      <c r="AU107" s="25"/>
      <c r="AV107" s="125" t="str">
        <f>IF(COUNT(AL105:AL106)=2,((AL107-AB107)/AB107),"")</f>
        <v/>
      </c>
      <c r="AW107" s="25"/>
      <c r="AX107" s="25"/>
      <c r="AY107" s="16"/>
      <c r="AZ107" s="82">
        <f>SUM(AZ105:AZ106)</f>
        <v>13600650</v>
      </c>
      <c r="BA107" s="26"/>
      <c r="BB107" s="12">
        <f>SUM(BB105:BB106)</f>
        <v>47473.408888116064</v>
      </c>
      <c r="BC107" s="17"/>
      <c r="BD107" s="83">
        <f>SUM(BD105:BD106)</f>
        <v>0.15590610472287705</v>
      </c>
      <c r="BE107" s="1"/>
      <c r="BF107" s="52">
        <f>BB107/BB$118</f>
        <v>0.10471016669425295</v>
      </c>
      <c r="BG107" s="25"/>
      <c r="BH107" s="12">
        <f>SUM(BH105:BH106)</f>
        <v>0</v>
      </c>
      <c r="BI107" s="26"/>
      <c r="BJ107" s="12">
        <f>SUM(BJ105:BJ106)</f>
        <v>0</v>
      </c>
      <c r="BK107" s="17"/>
      <c r="BL107" s="119">
        <f>SUM(BL105:BL106)</f>
        <v>0</v>
      </c>
      <c r="BM107" s="25"/>
      <c r="BN107" s="25"/>
      <c r="BO107" s="25"/>
      <c r="BP107" s="125" t="str">
        <f>IF(COUNT(BH105:BH106)=2,((BH107-AZ107)/AZ107),"")</f>
        <v/>
      </c>
      <c r="BQ107" s="25"/>
    </row>
    <row r="108" spans="1:69" s="5" customFormat="1" ht="15.95" customHeight="1" x14ac:dyDescent="0.25">
      <c r="A108" s="25"/>
      <c r="B108" s="10"/>
      <c r="D108" s="84"/>
      <c r="E108" s="17"/>
      <c r="F108" s="17"/>
      <c r="G108" s="17"/>
      <c r="H108" s="17"/>
      <c r="I108" s="17"/>
      <c r="J108" s="85"/>
      <c r="K108" s="17"/>
      <c r="L108" s="17"/>
      <c r="N108" s="93"/>
      <c r="O108" s="93"/>
      <c r="P108" s="26"/>
      <c r="Q108" s="93"/>
      <c r="R108" s="93"/>
      <c r="S108" s="93"/>
      <c r="T108" s="118"/>
      <c r="U108" s="26"/>
      <c r="V108" s="131"/>
      <c r="W108" s="26"/>
      <c r="X108" s="210"/>
      <c r="Y108" s="25"/>
      <c r="AB108" s="84"/>
      <c r="AC108" s="17"/>
      <c r="AD108" s="17"/>
      <c r="AE108" s="17"/>
      <c r="AF108" s="17"/>
      <c r="AG108" s="17"/>
      <c r="AH108" s="85"/>
      <c r="AI108" s="17"/>
      <c r="AJ108" s="17"/>
      <c r="AK108" s="25"/>
      <c r="AL108" s="93"/>
      <c r="AM108" s="93"/>
      <c r="AN108" s="26"/>
      <c r="AO108" s="93"/>
      <c r="AP108" s="93"/>
      <c r="AQ108" s="26"/>
      <c r="AR108" s="118"/>
      <c r="AS108" s="25"/>
      <c r="AT108" s="130"/>
      <c r="AU108" s="25"/>
      <c r="AV108" s="127"/>
      <c r="AW108" s="25"/>
      <c r="AX108" s="25"/>
      <c r="AY108" s="16"/>
      <c r="AZ108" s="84"/>
      <c r="BA108" s="17"/>
      <c r="BB108" s="17"/>
      <c r="BC108" s="17"/>
      <c r="BD108" s="85"/>
      <c r="BE108" s="17"/>
      <c r="BF108" s="17"/>
      <c r="BG108" s="25"/>
      <c r="BH108" s="93"/>
      <c r="BI108" s="26"/>
      <c r="BJ108" s="93"/>
      <c r="BK108" s="26"/>
      <c r="BL108" s="118"/>
      <c r="BM108" s="25"/>
      <c r="BN108" s="25"/>
      <c r="BO108" s="25"/>
      <c r="BP108" s="127"/>
      <c r="BQ108" s="25"/>
    </row>
    <row r="109" spans="1:69" s="5" customFormat="1" ht="15.95" customHeight="1" x14ac:dyDescent="0.25">
      <c r="A109" s="25"/>
      <c r="B109" s="10" t="s">
        <v>24</v>
      </c>
      <c r="D109" s="97">
        <v>2780750</v>
      </c>
      <c r="E109" s="70"/>
      <c r="F109" s="71">
        <f>$H$7</f>
        <v>340</v>
      </c>
      <c r="G109" s="70"/>
      <c r="H109" s="71">
        <f>H106*1.05</f>
        <v>10656.75251142687</v>
      </c>
      <c r="I109" s="70"/>
      <c r="J109" s="78">
        <f>H109/$H$10</f>
        <v>7.1282625494494115E-2</v>
      </c>
      <c r="K109" s="36"/>
      <c r="L109" s="36"/>
      <c r="N109" s="132"/>
      <c r="O109" s="132"/>
      <c r="P109" s="26"/>
      <c r="Q109" s="132"/>
      <c r="R109" s="132"/>
      <c r="S109" s="132"/>
      <c r="T109" s="118"/>
      <c r="U109" s="26"/>
      <c r="V109" s="207"/>
      <c r="W109" s="26"/>
      <c r="X109" s="208"/>
      <c r="Y109" s="25"/>
      <c r="AB109" s="97">
        <v>4019575</v>
      </c>
      <c r="AC109" s="132"/>
      <c r="AD109" s="71">
        <f>$AF$7</f>
        <v>340</v>
      </c>
      <c r="AE109" s="70"/>
      <c r="AF109" s="71">
        <f>AF106*1.05</f>
        <v>14874.678366206281</v>
      </c>
      <c r="AG109" s="70"/>
      <c r="AH109" s="78">
        <f t="shared" ref="AH109:AH110" si="154">AF109/$AF$10</f>
        <v>9.5965666878750203E-2</v>
      </c>
      <c r="AI109" s="36"/>
      <c r="AJ109" s="36"/>
      <c r="AK109" s="25"/>
      <c r="AL109" s="132"/>
      <c r="AM109" s="132"/>
      <c r="AN109" s="26"/>
      <c r="AO109" s="132"/>
      <c r="AP109" s="93"/>
      <c r="AQ109" s="26"/>
      <c r="AR109" s="118"/>
      <c r="AS109" s="20"/>
      <c r="AT109" s="129"/>
      <c r="AU109" s="20"/>
      <c r="AV109" s="124" t="str">
        <f>IF(AL109=0,"",((AL109-AB109)/AB109))</f>
        <v/>
      </c>
      <c r="AW109" s="25"/>
      <c r="AX109" s="25"/>
      <c r="AY109" s="16"/>
      <c r="AZ109" s="69">
        <f>AB109+D109</f>
        <v>6800325</v>
      </c>
      <c r="BA109" s="70"/>
      <c r="BB109" s="71">
        <f>AF109+H109</f>
        <v>25531.430877633153</v>
      </c>
      <c r="BC109" s="70"/>
      <c r="BD109" s="78">
        <f>BB109/$BB$10</f>
        <v>8.3847063637547306E-2</v>
      </c>
      <c r="BE109" s="36"/>
      <c r="BF109" s="36"/>
      <c r="BG109" s="25"/>
      <c r="BH109" s="132"/>
      <c r="BI109" s="26"/>
      <c r="BJ109" s="93"/>
      <c r="BK109" s="21"/>
      <c r="BL109" s="113"/>
      <c r="BM109" s="20"/>
      <c r="BN109" s="135"/>
      <c r="BO109" s="135"/>
      <c r="BP109" s="124"/>
      <c r="BQ109" s="25"/>
    </row>
    <row r="110" spans="1:69" s="5" customFormat="1" ht="15.95" customHeight="1" x14ac:dyDescent="0.25">
      <c r="A110" s="25"/>
      <c r="B110" s="10" t="s">
        <v>25</v>
      </c>
      <c r="D110" s="97">
        <v>2780750</v>
      </c>
      <c r="E110" s="70"/>
      <c r="F110" s="71">
        <f>$H$7</f>
        <v>340</v>
      </c>
      <c r="G110" s="70"/>
      <c r="H110" s="71">
        <f>H109*1.05</f>
        <v>11189.590136998215</v>
      </c>
      <c r="I110" s="70"/>
      <c r="J110" s="78">
        <f>H110/$H$10</f>
        <v>7.4846756769218828E-2</v>
      </c>
      <c r="K110" s="36"/>
      <c r="L110" s="36"/>
      <c r="N110" s="132"/>
      <c r="O110" s="132"/>
      <c r="P110" s="26"/>
      <c r="Q110" s="132"/>
      <c r="R110" s="132"/>
      <c r="S110" s="132"/>
      <c r="T110" s="118"/>
      <c r="U110" s="26"/>
      <c r="V110" s="207"/>
      <c r="W110" s="26"/>
      <c r="X110" s="208"/>
      <c r="Y110" s="25"/>
      <c r="AB110" s="97">
        <v>4019575</v>
      </c>
      <c r="AC110" s="132"/>
      <c r="AD110" s="71">
        <f>$AF$7</f>
        <v>340</v>
      </c>
      <c r="AE110" s="70"/>
      <c r="AF110" s="71">
        <f>AF109*1.05</f>
        <v>15618.412284516595</v>
      </c>
      <c r="AG110" s="70"/>
      <c r="AH110" s="78">
        <f t="shared" si="154"/>
        <v>0.10076395022268771</v>
      </c>
      <c r="AI110" s="36"/>
      <c r="AJ110" s="36"/>
      <c r="AK110" s="25"/>
      <c r="AL110" s="132"/>
      <c r="AM110" s="132"/>
      <c r="AN110" s="26"/>
      <c r="AO110" s="132"/>
      <c r="AP110" s="93"/>
      <c r="AQ110" s="26"/>
      <c r="AR110" s="118"/>
      <c r="AS110" s="20"/>
      <c r="AT110" s="129"/>
      <c r="AU110" s="20"/>
      <c r="AV110" s="124" t="str">
        <f>IF(AL110=0,"",((AL110-AB110)/AB110))</f>
        <v/>
      </c>
      <c r="AW110" s="25"/>
      <c r="AX110" s="25"/>
      <c r="AY110" s="16"/>
      <c r="AZ110" s="69">
        <f>AB110+D110</f>
        <v>6800325</v>
      </c>
      <c r="BA110" s="70"/>
      <c r="BB110" s="71">
        <f>AF110+H110</f>
        <v>26808.002421514808</v>
      </c>
      <c r="BC110" s="70"/>
      <c r="BD110" s="78">
        <f>BB110/$BB$10</f>
        <v>8.8039416819424662E-2</v>
      </c>
      <c r="BE110" s="36"/>
      <c r="BF110" s="36"/>
      <c r="BG110" s="25"/>
      <c r="BH110" s="132"/>
      <c r="BI110" s="26"/>
      <c r="BJ110" s="93"/>
      <c r="BK110" s="21"/>
      <c r="BL110" s="113"/>
      <c r="BM110" s="20"/>
      <c r="BN110" s="135"/>
      <c r="BO110" s="135"/>
      <c r="BP110" s="124"/>
      <c r="BQ110" s="25"/>
    </row>
    <row r="111" spans="1:69" s="5" customFormat="1" ht="15.95" customHeight="1" thickBot="1" x14ac:dyDescent="0.3">
      <c r="A111" s="25"/>
      <c r="B111" s="49" t="s">
        <v>29</v>
      </c>
      <c r="D111" s="82">
        <f>SUM(D109:D110)</f>
        <v>5561500</v>
      </c>
      <c r="E111" s="26"/>
      <c r="F111" s="26"/>
      <c r="G111" s="26"/>
      <c r="H111" s="12">
        <f>SUM(H109:H110)</f>
        <v>21846.342648425085</v>
      </c>
      <c r="I111" s="17"/>
      <c r="J111" s="83">
        <f>SUM(J109:J110)</f>
        <v>0.14612938226371294</v>
      </c>
      <c r="K111" s="1"/>
      <c r="L111" s="52">
        <f>H111/H$118</f>
        <v>0.11602967986025771</v>
      </c>
      <c r="N111" s="17"/>
      <c r="O111" s="17"/>
      <c r="P111" s="26"/>
      <c r="Q111" s="17"/>
      <c r="R111" s="17"/>
      <c r="S111" s="17"/>
      <c r="T111" s="209"/>
      <c r="U111" s="26"/>
      <c r="V111" s="175"/>
      <c r="W111" s="26"/>
      <c r="X111" s="208"/>
      <c r="Y111" s="25"/>
      <c r="AB111" s="82">
        <f>SUM(AB109:AB110)</f>
        <v>8039150</v>
      </c>
      <c r="AC111" s="17"/>
      <c r="AD111" s="26"/>
      <c r="AE111" s="26"/>
      <c r="AF111" s="12">
        <f>SUM(AF109:AF110)</f>
        <v>30493.090650722876</v>
      </c>
      <c r="AG111" s="17"/>
      <c r="AH111" s="83">
        <f>SUM(AH109:AH110)</f>
        <v>0.19672961710143791</v>
      </c>
      <c r="AI111" s="1"/>
      <c r="AJ111" s="52">
        <f>AF111/AF$118</f>
        <v>0.11414183885195474</v>
      </c>
      <c r="AK111" s="25"/>
      <c r="AL111" s="17"/>
      <c r="AM111" s="17"/>
      <c r="AN111" s="26"/>
      <c r="AO111" s="17"/>
      <c r="AP111" s="17"/>
      <c r="AQ111" s="17"/>
      <c r="AR111" s="209"/>
      <c r="AS111" s="25"/>
      <c r="AT111" s="175"/>
      <c r="AU111" s="25"/>
      <c r="AV111" s="125" t="str">
        <f>IF(COUNT(AL109:AL110)=2,((AL111-AB111)/AB111),"")</f>
        <v/>
      </c>
      <c r="AW111" s="25"/>
      <c r="AX111" s="25"/>
      <c r="AY111" s="16"/>
      <c r="AZ111" s="82">
        <f>SUM(AZ109:AZ110)</f>
        <v>13600650</v>
      </c>
      <c r="BA111" s="26"/>
      <c r="BB111" s="12">
        <f>SUM(BB109:BB110)</f>
        <v>52339.43329914796</v>
      </c>
      <c r="BC111" s="17"/>
      <c r="BD111" s="83">
        <f>SUM(BD109:BD110)</f>
        <v>0.17188648045697197</v>
      </c>
      <c r="BE111" s="1"/>
      <c r="BF111" s="52">
        <f>BB111/BB$118</f>
        <v>0.11544295878041388</v>
      </c>
      <c r="BG111" s="25"/>
      <c r="BH111" s="12">
        <f>SUM(BH109:BH110)</f>
        <v>0</v>
      </c>
      <c r="BI111" s="26"/>
      <c r="BJ111" s="12">
        <f>SUM(BJ109:BJ110)</f>
        <v>0</v>
      </c>
      <c r="BK111" s="17"/>
      <c r="BL111" s="119">
        <f>SUM(BL109:BL110)</f>
        <v>0</v>
      </c>
      <c r="BM111" s="25"/>
      <c r="BN111" s="25"/>
      <c r="BO111" s="25"/>
      <c r="BP111" s="125" t="str">
        <f>IF(COUNT(BH109:BH110)=2,((BH111-AZ111)/AZ111),"")</f>
        <v/>
      </c>
      <c r="BQ111" s="25"/>
    </row>
    <row r="112" spans="1:69" s="5" customFormat="1" ht="15.95" customHeight="1" x14ac:dyDescent="0.25">
      <c r="A112" s="25"/>
      <c r="B112" s="10"/>
      <c r="D112" s="84"/>
      <c r="E112" s="17"/>
      <c r="F112" s="17"/>
      <c r="G112" s="17"/>
      <c r="H112" s="17"/>
      <c r="I112" s="17"/>
      <c r="J112" s="85"/>
      <c r="K112" s="17"/>
      <c r="L112" s="17"/>
      <c r="N112" s="93"/>
      <c r="O112" s="93"/>
      <c r="P112" s="26"/>
      <c r="Q112" s="93"/>
      <c r="R112" s="93"/>
      <c r="S112" s="93"/>
      <c r="T112" s="118"/>
      <c r="U112" s="26"/>
      <c r="V112" s="131"/>
      <c r="W112" s="26"/>
      <c r="X112" s="210"/>
      <c r="Y112" s="25"/>
      <c r="AB112" s="84"/>
      <c r="AC112" s="17"/>
      <c r="AD112" s="17"/>
      <c r="AE112" s="17"/>
      <c r="AF112" s="17"/>
      <c r="AG112" s="17"/>
      <c r="AH112" s="85"/>
      <c r="AI112" s="17"/>
      <c r="AJ112" s="17"/>
      <c r="AK112" s="25"/>
      <c r="AL112" s="93"/>
      <c r="AM112" s="93"/>
      <c r="AN112" s="26"/>
      <c r="AO112" s="93"/>
      <c r="AP112" s="93"/>
      <c r="AQ112" s="26"/>
      <c r="AR112" s="118"/>
      <c r="AS112" s="25"/>
      <c r="AT112" s="130"/>
      <c r="AU112" s="25"/>
      <c r="AV112" s="127"/>
      <c r="AW112" s="25"/>
      <c r="AX112" s="25"/>
      <c r="AY112" s="16"/>
      <c r="AZ112" s="84"/>
      <c r="BA112" s="17"/>
      <c r="BB112" s="17"/>
      <c r="BC112" s="17"/>
      <c r="BD112" s="85"/>
      <c r="BE112" s="17"/>
      <c r="BF112" s="17"/>
      <c r="BG112" s="25"/>
      <c r="BH112" s="93"/>
      <c r="BI112" s="26"/>
      <c r="BJ112" s="93"/>
      <c r="BK112" s="26"/>
      <c r="BL112" s="118"/>
      <c r="BM112" s="25"/>
      <c r="BN112" s="25"/>
      <c r="BO112" s="25"/>
      <c r="BP112" s="127"/>
      <c r="BQ112" s="25"/>
    </row>
    <row r="113" spans="1:69" s="5" customFormat="1" ht="15.95" customHeight="1" x14ac:dyDescent="0.25">
      <c r="A113" s="25"/>
      <c r="B113" s="10" t="s">
        <v>26</v>
      </c>
      <c r="D113" s="97">
        <v>2780750</v>
      </c>
      <c r="E113" s="70"/>
      <c r="F113" s="71">
        <f>$H$7</f>
        <v>340</v>
      </c>
      <c r="G113" s="70"/>
      <c r="H113" s="71">
        <f>H110*1.05</f>
        <v>11749.069643848126</v>
      </c>
      <c r="I113" s="70"/>
      <c r="J113" s="78">
        <f>H113/$H$10</f>
        <v>7.858909460767978E-2</v>
      </c>
      <c r="K113" s="36"/>
      <c r="L113" s="36"/>
      <c r="N113" s="132"/>
      <c r="O113" s="132"/>
      <c r="P113" s="26"/>
      <c r="Q113" s="132"/>
      <c r="R113" s="132"/>
      <c r="S113" s="132"/>
      <c r="T113" s="118"/>
      <c r="U113" s="26"/>
      <c r="V113" s="207"/>
      <c r="W113" s="26"/>
      <c r="X113" s="208"/>
      <c r="Y113" s="25"/>
      <c r="AB113" s="97">
        <v>4019575</v>
      </c>
      <c r="AC113" s="132"/>
      <c r="AD113" s="71">
        <f>$AF$7</f>
        <v>340</v>
      </c>
      <c r="AE113" s="70"/>
      <c r="AF113" s="71">
        <f>AF110*1.05</f>
        <v>16399.332898742425</v>
      </c>
      <c r="AG113" s="70"/>
      <c r="AH113" s="78">
        <f t="shared" ref="AH113" si="155">AF113/$AF$10</f>
        <v>0.1058021477338221</v>
      </c>
      <c r="AI113" s="36"/>
      <c r="AJ113" s="36"/>
      <c r="AK113" s="25"/>
      <c r="AL113" s="132"/>
      <c r="AM113" s="132"/>
      <c r="AN113" s="26"/>
      <c r="AO113" s="132"/>
      <c r="AP113" s="93"/>
      <c r="AQ113" s="26"/>
      <c r="AR113" s="118"/>
      <c r="AS113" s="20"/>
      <c r="AT113" s="129"/>
      <c r="AU113" s="20"/>
      <c r="AV113" s="124" t="str">
        <f t="shared" ref="AV113" si="156">IF(AL113=0,"",((AL113-AB113)/AB113))</f>
        <v/>
      </c>
      <c r="AW113" s="25"/>
      <c r="AX113" s="25"/>
      <c r="AY113" s="16"/>
      <c r="AZ113" s="69">
        <f>AB113+D113</f>
        <v>6800325</v>
      </c>
      <c r="BA113" s="70"/>
      <c r="BB113" s="71">
        <f>AF113+H113</f>
        <v>28148.402542590549</v>
      </c>
      <c r="BC113" s="70"/>
      <c r="BD113" s="78">
        <f>BB113/$BB$10</f>
        <v>9.2441387660395891E-2</v>
      </c>
      <c r="BE113" s="36"/>
      <c r="BF113" s="36"/>
      <c r="BG113" s="25"/>
      <c r="BH113" s="132"/>
      <c r="BI113" s="26"/>
      <c r="BJ113" s="93"/>
      <c r="BK113" s="21"/>
      <c r="BL113" s="113"/>
      <c r="BM113" s="20"/>
      <c r="BN113" s="135"/>
      <c r="BO113" s="135"/>
      <c r="BP113" s="124"/>
      <c r="BQ113" s="25"/>
    </row>
    <row r="114" spans="1:69" s="5" customFormat="1" ht="15.95" customHeight="1" thickBot="1" x14ac:dyDescent="0.3">
      <c r="A114" s="25"/>
      <c r="B114" s="49" t="s">
        <v>30</v>
      </c>
      <c r="D114" s="82">
        <f>SUM(D113:D113)</f>
        <v>2780750</v>
      </c>
      <c r="E114" s="26"/>
      <c r="F114" s="26"/>
      <c r="G114" s="26"/>
      <c r="H114" s="12">
        <f>SUM(H113:H113)</f>
        <v>11749.069643848126</v>
      </c>
      <c r="I114" s="17"/>
      <c r="J114" s="83">
        <f>SUM(J113:J113)</f>
        <v>7.858909460767978E-2</v>
      </c>
      <c r="K114" s="1"/>
      <c r="L114" s="52">
        <f>H114/H$118</f>
        <v>6.2401327827284948E-2</v>
      </c>
      <c r="N114" s="17"/>
      <c r="O114" s="17"/>
      <c r="P114" s="26"/>
      <c r="Q114" s="17"/>
      <c r="R114" s="17"/>
      <c r="S114" s="17"/>
      <c r="T114" s="209"/>
      <c r="U114" s="26"/>
      <c r="V114" s="175"/>
      <c r="W114" s="26"/>
      <c r="X114" s="208"/>
      <c r="Y114" s="25"/>
      <c r="AB114" s="82">
        <f>SUM(AB113:AB113)</f>
        <v>4019575</v>
      </c>
      <c r="AC114" s="17"/>
      <c r="AD114" s="17"/>
      <c r="AE114" s="26"/>
      <c r="AF114" s="12">
        <f>SUM(AF113:AF113)</f>
        <v>16399.332898742425</v>
      </c>
      <c r="AG114" s="17"/>
      <c r="AH114" s="83">
        <f>SUM(AH113:AH113)</f>
        <v>0.1058021477338221</v>
      </c>
      <c r="AI114" s="1"/>
      <c r="AJ114" s="52">
        <f>AF114/AF$118</f>
        <v>6.1386037724039076E-2</v>
      </c>
      <c r="AK114" s="25"/>
      <c r="AL114" s="17"/>
      <c r="AM114" s="17"/>
      <c r="AN114" s="26"/>
      <c r="AO114" s="17"/>
      <c r="AP114" s="17"/>
      <c r="AQ114" s="17"/>
      <c r="AR114" s="209"/>
      <c r="AS114" s="25"/>
      <c r="AT114" s="175"/>
      <c r="AU114" s="25"/>
      <c r="AV114" s="125" t="str">
        <f>IF(COUNT(AL113:AL113)=2,((AL114-AB114)/AB114),"")</f>
        <v/>
      </c>
      <c r="AW114" s="25"/>
      <c r="AX114" s="25"/>
      <c r="AY114" s="16"/>
      <c r="AZ114" s="82">
        <f>SUM(AZ113:AZ113)</f>
        <v>6800325</v>
      </c>
      <c r="BA114" s="26"/>
      <c r="BB114" s="12">
        <f>SUM(BB113:BB113)</f>
        <v>28148.402542590549</v>
      </c>
      <c r="BC114" s="17"/>
      <c r="BD114" s="83">
        <f>SUM(BD113:BD113)</f>
        <v>9.2441387660395891E-2</v>
      </c>
      <c r="BE114" s="1"/>
      <c r="BF114" s="52">
        <f>BB114/BB$118</f>
        <v>6.2085786368490881E-2</v>
      </c>
      <c r="BG114" s="25"/>
      <c r="BH114" s="12">
        <f>SUM(BH113:BH113)</f>
        <v>0</v>
      </c>
      <c r="BI114" s="26"/>
      <c r="BJ114" s="12">
        <f>SUM(BJ113:BJ113)</f>
        <v>0</v>
      </c>
      <c r="BK114" s="17"/>
      <c r="BL114" s="119">
        <f>SUM(BL113:BL113)</f>
        <v>0</v>
      </c>
      <c r="BM114" s="25"/>
      <c r="BN114" s="25"/>
      <c r="BO114" s="25"/>
      <c r="BP114" s="125" t="str">
        <f>IF(COUNT(BH113:BH113)=2,((BH114-AZ114)/AZ114),"")</f>
        <v/>
      </c>
      <c r="BQ114" s="25"/>
    </row>
    <row r="115" spans="1:69" s="25" customFormat="1" ht="15.95" customHeight="1" x14ac:dyDescent="0.25">
      <c r="B115" s="42"/>
      <c r="D115" s="84"/>
      <c r="E115" s="26"/>
      <c r="F115" s="26"/>
      <c r="G115" s="26"/>
      <c r="H115" s="17"/>
      <c r="I115" s="17"/>
      <c r="J115" s="86"/>
      <c r="K115" s="1"/>
      <c r="L115" s="39"/>
      <c r="N115" s="93"/>
      <c r="O115" s="93"/>
      <c r="P115" s="26"/>
      <c r="Q115" s="93"/>
      <c r="R115" s="93"/>
      <c r="S115" s="93"/>
      <c r="T115" s="118"/>
      <c r="U115" s="26"/>
      <c r="V115" s="131"/>
      <c r="W115" s="26"/>
      <c r="X115" s="210"/>
      <c r="AB115" s="84"/>
      <c r="AC115" s="17"/>
      <c r="AD115" s="17"/>
      <c r="AE115" s="26"/>
      <c r="AF115" s="17"/>
      <c r="AG115" s="17"/>
      <c r="AH115" s="86"/>
      <c r="AI115" s="1"/>
      <c r="AJ115" s="39"/>
      <c r="AL115" s="93"/>
      <c r="AM115" s="93"/>
      <c r="AN115" s="26"/>
      <c r="AO115" s="93"/>
      <c r="AP115" s="93"/>
      <c r="AQ115" s="26"/>
      <c r="AR115" s="118"/>
      <c r="AT115" s="131"/>
      <c r="AV115" s="127"/>
      <c r="AZ115" s="84"/>
      <c r="BA115" s="26"/>
      <c r="BB115" s="17"/>
      <c r="BC115" s="17"/>
      <c r="BD115" s="86"/>
      <c r="BE115" s="1"/>
      <c r="BF115" s="39"/>
      <c r="BH115" s="93"/>
      <c r="BI115" s="26"/>
      <c r="BJ115" s="93"/>
      <c r="BK115" s="26"/>
      <c r="BL115" s="118"/>
      <c r="BP115" s="127"/>
    </row>
    <row r="116" spans="1:69" s="25" customFormat="1" ht="15.95" customHeight="1" thickBot="1" x14ac:dyDescent="0.3">
      <c r="B116" s="49" t="s">
        <v>41</v>
      </c>
      <c r="D116" s="82">
        <f>D114+D111+D107+D99</f>
        <v>17102500</v>
      </c>
      <c r="E116" s="26"/>
      <c r="F116" s="26"/>
      <c r="G116" s="26"/>
      <c r="H116" s="12">
        <f>H114+H111+H107+H99</f>
        <v>62616.392568505333</v>
      </c>
      <c r="I116" s="17"/>
      <c r="J116" s="83">
        <f>J114+J111+J107+J99</f>
        <v>0.41196900027744687</v>
      </c>
      <c r="K116" s="1"/>
      <c r="L116" s="52">
        <f>H116/H$118</f>
        <v>0.33256642087190086</v>
      </c>
      <c r="N116" s="17"/>
      <c r="O116" s="17"/>
      <c r="P116" s="26"/>
      <c r="Q116" s="17"/>
      <c r="R116" s="17"/>
      <c r="S116" s="17"/>
      <c r="T116" s="209"/>
      <c r="U116" s="26"/>
      <c r="V116" s="175"/>
      <c r="W116" s="26"/>
      <c r="X116" s="208"/>
      <c r="AB116" s="82">
        <f>AB114+AB111+AB107+AB99</f>
        <v>24535450</v>
      </c>
      <c r="AC116" s="17"/>
      <c r="AD116" s="17"/>
      <c r="AE116" s="26"/>
      <c r="AF116" s="12">
        <f>AF114+AF111+AF107+AF99</f>
        <v>87399.862097756239</v>
      </c>
      <c r="AG116" s="17"/>
      <c r="AH116" s="83">
        <f>AH114+AH111+AH107+AH99</f>
        <v>0.57300632957035669</v>
      </c>
      <c r="AI116" s="1"/>
      <c r="AJ116" s="52">
        <f>AF116/AF$118</f>
        <v>0.32715545595272966</v>
      </c>
      <c r="AL116" s="17"/>
      <c r="AM116" s="17"/>
      <c r="AN116" s="26"/>
      <c r="AO116" s="17"/>
      <c r="AP116" s="17"/>
      <c r="AQ116" s="17"/>
      <c r="AR116" s="209"/>
      <c r="AT116" s="175"/>
      <c r="AV116" s="125" t="str">
        <f>IF(COUNT(AL105:AL114)=9,((AL116-AB116)/AB116),"")</f>
        <v/>
      </c>
      <c r="AZ116" s="82">
        <f>AZ114+AZ111+AZ107+AZ99</f>
        <v>40801950</v>
      </c>
      <c r="BA116" s="26"/>
      <c r="BB116" s="12">
        <f>BB114+BB111+BB107+BB99</f>
        <v>147962.20061220753</v>
      </c>
      <c r="BC116" s="17"/>
      <c r="BD116" s="83">
        <f>BD114+BD111+BD107+BD99</f>
        <v>0.48591855701874387</v>
      </c>
      <c r="BE116" s="1"/>
      <c r="BF116" s="52">
        <f>BB116/BB$118</f>
        <v>0.32635420656364789</v>
      </c>
      <c r="BH116" s="12">
        <f>BH114+BH111+BH107+BH99</f>
        <v>1566000</v>
      </c>
      <c r="BI116" s="26"/>
      <c r="BJ116" s="12">
        <f>BJ114+BJ111+BJ107+BJ99</f>
        <v>8060.7690417690419</v>
      </c>
      <c r="BK116" s="17"/>
      <c r="BL116" s="119">
        <f>BL114+BL111+BL107+BL99</f>
        <v>2.0446868685206714E-2</v>
      </c>
      <c r="BP116" s="125" t="str">
        <f>IF(COUNT(BH105:BH114)=9,((BH116-AZ116)/AZ116),"")</f>
        <v/>
      </c>
    </row>
    <row r="117" spans="1:69" s="5" customFormat="1" ht="15.95" customHeight="1" x14ac:dyDescent="0.25">
      <c r="A117" s="25"/>
      <c r="B117" s="10"/>
      <c r="D117" s="79"/>
      <c r="E117" s="26"/>
      <c r="F117" s="26"/>
      <c r="G117" s="26"/>
      <c r="H117" s="17"/>
      <c r="I117" s="17"/>
      <c r="J117" s="85"/>
      <c r="K117" s="17"/>
      <c r="L117" s="17"/>
      <c r="N117" s="93"/>
      <c r="O117" s="93"/>
      <c r="P117" s="26"/>
      <c r="Q117" s="93"/>
      <c r="R117" s="93"/>
      <c r="S117" s="93"/>
      <c r="T117" s="118"/>
      <c r="U117" s="26"/>
      <c r="V117" s="131"/>
      <c r="W117" s="26"/>
      <c r="X117" s="210"/>
      <c r="Y117" s="25"/>
      <c r="AB117" s="79"/>
      <c r="AC117" s="26"/>
      <c r="AD117" s="26"/>
      <c r="AE117" s="26"/>
      <c r="AF117" s="17"/>
      <c r="AG117" s="17"/>
      <c r="AH117" s="85"/>
      <c r="AI117" s="17"/>
      <c r="AJ117" s="17"/>
      <c r="AK117" s="25"/>
      <c r="AL117" s="93"/>
      <c r="AM117" s="93"/>
      <c r="AN117" s="26"/>
      <c r="AO117" s="93"/>
      <c r="AP117" s="93"/>
      <c r="AQ117" s="26"/>
      <c r="AR117" s="118"/>
      <c r="AS117" s="25"/>
      <c r="AT117" s="131"/>
      <c r="AU117" s="25"/>
      <c r="AV117" s="127"/>
      <c r="AW117" s="25"/>
      <c r="AX117" s="25"/>
      <c r="AY117" s="16"/>
      <c r="AZ117" s="79"/>
      <c r="BA117" s="26"/>
      <c r="BB117" s="17"/>
      <c r="BC117" s="17"/>
      <c r="BD117" s="85"/>
      <c r="BE117" s="17"/>
      <c r="BF117" s="17"/>
      <c r="BG117" s="25"/>
      <c r="BH117" s="93"/>
      <c r="BI117" s="26"/>
      <c r="BJ117" s="93"/>
      <c r="BK117" s="26"/>
      <c r="BL117" s="118"/>
      <c r="BM117" s="25"/>
      <c r="BN117" s="25"/>
      <c r="BO117" s="25"/>
      <c r="BP117" s="127"/>
      <c r="BQ117" s="25"/>
    </row>
    <row r="118" spans="1:69" ht="15.95" customHeight="1" thickBot="1" x14ac:dyDescent="0.3">
      <c r="B118" s="50" t="s">
        <v>20</v>
      </c>
      <c r="D118" s="72">
        <f>D114+D111+D107+D101</f>
        <v>54901157.18</v>
      </c>
      <c r="E118" s="21"/>
      <c r="F118" s="21"/>
      <c r="G118" s="21"/>
      <c r="H118" s="28">
        <f>H114+H111+H107+H101</f>
        <v>188282.36598373877</v>
      </c>
      <c r="I118" s="27"/>
      <c r="J118" s="73">
        <f>J114+J111+J107+J101</f>
        <v>1.2525440732890416</v>
      </c>
      <c r="K118" s="37"/>
      <c r="L118" s="52">
        <f>H118/H$118</f>
        <v>1</v>
      </c>
      <c r="N118" s="132"/>
      <c r="O118" s="132"/>
      <c r="P118" s="21"/>
      <c r="Q118" s="27"/>
      <c r="R118" s="132"/>
      <c r="S118" s="132"/>
      <c r="T118" s="211"/>
      <c r="U118" s="26"/>
      <c r="V118" s="207"/>
      <c r="W118" s="26"/>
      <c r="X118" s="208"/>
      <c r="Z118" s="3"/>
      <c r="AB118" s="72">
        <f>AB114+AB111+AB107+AB101</f>
        <v>55135450</v>
      </c>
      <c r="AC118" s="132"/>
      <c r="AD118" s="132"/>
      <c r="AE118" s="21"/>
      <c r="AF118" s="136">
        <f>AF114+AF111+AF107+AF101</f>
        <v>267150.86209775624</v>
      </c>
      <c r="AG118" s="27"/>
      <c r="AH118" s="73">
        <f>AH114+AH111+AH107+AH101</f>
        <v>1.7326902005380986</v>
      </c>
      <c r="AI118" s="37"/>
      <c r="AJ118" s="52">
        <f>AF118/AF$118</f>
        <v>1</v>
      </c>
      <c r="AL118" s="132"/>
      <c r="AM118" s="132"/>
      <c r="AN118" s="26"/>
      <c r="AO118" s="132"/>
      <c r="AP118" s="132"/>
      <c r="AQ118" s="132"/>
      <c r="AR118" s="211"/>
      <c r="AT118" s="171"/>
      <c r="AV118" s="125" t="str">
        <f>IF(COUNT(AL25:AO116)=38,((AL118-AB118)/AB118),"")</f>
        <v/>
      </c>
      <c r="AY118" s="14"/>
      <c r="AZ118" s="72">
        <f>AZ114+AZ111+AZ107+AZ101</f>
        <v>96708007.180000007</v>
      </c>
      <c r="BA118" s="21"/>
      <c r="BB118" s="28">
        <f>BB114+BB111+BB107+BB101</f>
        <v>453379.17402744095</v>
      </c>
      <c r="BC118" s="27"/>
      <c r="BD118" s="73">
        <f>BD114+BD111+BD107+BD101</f>
        <v>1.4889299639653233</v>
      </c>
      <c r="BE118" s="37"/>
      <c r="BF118" s="52">
        <f>BB118/BB$118</f>
        <v>1</v>
      </c>
      <c r="BH118" s="28">
        <f>BH114+BH111+BH107+BH101</f>
        <v>100719401</v>
      </c>
      <c r="BI118" s="21"/>
      <c r="BJ118" s="28">
        <f>BJ114+BJ111+BJ107+BJ101</f>
        <v>371073.91891891888</v>
      </c>
      <c r="BK118" s="27"/>
      <c r="BL118" s="116">
        <f>BL114+BL111+BL107+BL101</f>
        <v>0.94126250898947039</v>
      </c>
      <c r="BP118" s="125" t="str">
        <f>IF(COUNT(BH25:BI116)=38,((BH118-AZ118)/AZ118),"")</f>
        <v/>
      </c>
    </row>
    <row r="119" spans="1:69" ht="15.95" customHeight="1" x14ac:dyDescent="0.25">
      <c r="D119" s="87"/>
      <c r="E119" s="88"/>
      <c r="F119" s="88"/>
      <c r="G119" s="88"/>
      <c r="H119" s="88"/>
      <c r="I119" s="88"/>
      <c r="J119" s="89"/>
      <c r="O119" s="9"/>
      <c r="P119" s="135"/>
      <c r="R119" s="93"/>
      <c r="S119" s="93"/>
      <c r="T119" s="118"/>
      <c r="U119" s="26"/>
      <c r="V119" s="26"/>
      <c r="W119" s="26"/>
      <c r="X119" s="26"/>
      <c r="Z119" s="3"/>
      <c r="AB119" s="87"/>
      <c r="AC119" s="158"/>
      <c r="AD119" s="158"/>
      <c r="AE119" s="88"/>
      <c r="AF119" s="88"/>
      <c r="AG119" s="88"/>
      <c r="AH119" s="89"/>
      <c r="AL119" s="14"/>
      <c r="AM119" s="25"/>
      <c r="AO119" s="25"/>
      <c r="AP119" s="14"/>
      <c r="AQ119" s="14"/>
      <c r="AR119" s="14"/>
      <c r="AY119" s="14"/>
      <c r="AZ119" s="87"/>
      <c r="BA119" s="88"/>
      <c r="BB119" s="88"/>
      <c r="BC119" s="88"/>
      <c r="BD119" s="89"/>
    </row>
    <row r="120" spans="1:69" ht="15.95" customHeight="1" x14ac:dyDescent="0.25">
      <c r="O120" s="9"/>
      <c r="P120" s="135"/>
      <c r="R120" s="93"/>
      <c r="S120" s="93"/>
      <c r="Z120" s="3"/>
      <c r="AM120" s="25"/>
    </row>
    <row r="121" spans="1:69" ht="15.95" customHeight="1" x14ac:dyDescent="0.25">
      <c r="F121" s="188" t="s">
        <v>55</v>
      </c>
      <c r="H121" s="138">
        <f>H101-H20</f>
        <v>93229.676912848692</v>
      </c>
      <c r="O121" s="9"/>
      <c r="P121" s="109" t="s">
        <v>112</v>
      </c>
      <c r="R121" s="107">
        <f>H103+R20</f>
        <v>136429.67691284869</v>
      </c>
      <c r="Z121" s="3"/>
      <c r="AD121" s="188" t="s">
        <v>55</v>
      </c>
      <c r="AF121" s="138">
        <f>AF101-AF20</f>
        <v>114849.30643879174</v>
      </c>
      <c r="AM121" s="25"/>
      <c r="AN121" s="109" t="s">
        <v>102</v>
      </c>
      <c r="AO121" s="22"/>
      <c r="AP121" s="107">
        <f>IF(AP101&lt;(AF103+AP20),AP101,AF103+AP20)</f>
        <v>189821.17690417689</v>
      </c>
      <c r="AZ121" s="188" t="s">
        <v>55</v>
      </c>
      <c r="BA121" s="135"/>
      <c r="BB121" s="138">
        <f>BB101-BB20</f>
        <v>206024.92929758638</v>
      </c>
      <c r="BC121" s="21"/>
      <c r="BD121" s="21"/>
      <c r="BE121" s="21"/>
      <c r="BH121" s="109" t="s">
        <v>102</v>
      </c>
      <c r="BI121" s="22"/>
      <c r="BJ121" s="107">
        <f>AP121+R121</f>
        <v>326250.85381702555</v>
      </c>
      <c r="BL121" s="22"/>
    </row>
    <row r="122" spans="1:69" ht="15.95" customHeight="1" x14ac:dyDescent="0.25">
      <c r="F122" s="188" t="s">
        <v>83</v>
      </c>
      <c r="H122" s="138">
        <f>H121+H21</f>
        <v>134871.67691284869</v>
      </c>
      <c r="O122" s="9"/>
      <c r="P122" s="109" t="s">
        <v>113</v>
      </c>
      <c r="R122" s="107">
        <f>V103</f>
        <v>44823.065101893299</v>
      </c>
      <c r="Z122" s="3"/>
      <c r="AD122" s="188" t="s">
        <v>83</v>
      </c>
      <c r="AF122" s="138">
        <f>AF121+AF21</f>
        <v>192600.30643879174</v>
      </c>
      <c r="AM122" s="25"/>
      <c r="AN122" s="109" t="s">
        <v>103</v>
      </c>
      <c r="AO122" s="22"/>
      <c r="AP122" s="107">
        <f>IF(AT103&lt;0,0,AT103)</f>
        <v>0</v>
      </c>
      <c r="AZ122" s="188" t="s">
        <v>83</v>
      </c>
      <c r="BA122" s="135"/>
      <c r="BB122" s="138">
        <f>BB121+BB21</f>
        <v>325417.92929758638</v>
      </c>
      <c r="BC122" s="21"/>
      <c r="BD122" s="21"/>
      <c r="BE122" s="21"/>
      <c r="BH122" s="109" t="s">
        <v>103</v>
      </c>
      <c r="BI122" s="22"/>
      <c r="BJ122" s="107">
        <f>AP122+R122</f>
        <v>44823.065101893299</v>
      </c>
    </row>
    <row r="123" spans="1:69" ht="15.95" customHeight="1" thickBot="1" x14ac:dyDescent="0.3">
      <c r="O123" s="9"/>
      <c r="P123" s="9"/>
      <c r="R123" s="136">
        <f>SUM(R121:R122)</f>
        <v>181252.74201474199</v>
      </c>
      <c r="Z123" s="3"/>
      <c r="AM123" s="25"/>
      <c r="AN123" s="9"/>
      <c r="AO123" s="22"/>
      <c r="AP123" s="136">
        <f>SUM(AP121:AP122)</f>
        <v>189821.17690417689</v>
      </c>
      <c r="AZ123" s="99"/>
      <c r="BA123" s="21"/>
      <c r="BB123" s="21"/>
      <c r="BC123" s="21"/>
      <c r="BD123" s="21"/>
      <c r="BE123" s="21"/>
      <c r="BH123" s="9"/>
      <c r="BI123" s="22"/>
      <c r="BJ123" s="136">
        <f>SUM(BJ121:BJ122)</f>
        <v>371073.91891891882</v>
      </c>
    </row>
    <row r="124" spans="1:69" ht="15.95" customHeight="1" thickBot="1" x14ac:dyDescent="0.3">
      <c r="Z124" s="3"/>
      <c r="AM124" s="25"/>
      <c r="AZ124" s="187" t="s">
        <v>93</v>
      </c>
      <c r="BA124" s="21"/>
      <c r="BB124" s="222">
        <v>200433</v>
      </c>
      <c r="BC124" s="21"/>
      <c r="BD124" s="21"/>
      <c r="BE124" s="21"/>
    </row>
    <row r="125" spans="1:69" ht="15.95" customHeight="1" x14ac:dyDescent="0.25">
      <c r="P125" s="177" t="s">
        <v>35</v>
      </c>
      <c r="R125" s="107">
        <f>R20</f>
        <v>43200</v>
      </c>
      <c r="Z125" s="3"/>
      <c r="AM125" s="25"/>
      <c r="AN125" s="177" t="s">
        <v>35</v>
      </c>
      <c r="AO125" s="22"/>
      <c r="AP125" s="107">
        <f>AP20</f>
        <v>76193</v>
      </c>
      <c r="AZ125" s="188"/>
      <c r="BA125" s="21"/>
      <c r="BB125" s="27"/>
      <c r="BC125" s="21"/>
      <c r="BD125" s="21"/>
      <c r="BE125" s="21"/>
      <c r="BH125" s="177" t="s">
        <v>35</v>
      </c>
      <c r="BI125" s="22"/>
      <c r="BJ125" s="107">
        <f t="shared" ref="BJ125:BJ126" si="157">AP125+R125</f>
        <v>119393</v>
      </c>
    </row>
    <row r="126" spans="1:69" ht="15.95" customHeight="1" x14ac:dyDescent="0.25">
      <c r="P126" s="177" t="s">
        <v>107</v>
      </c>
      <c r="R126" s="107">
        <f>R103</f>
        <v>138052.74201474199</v>
      </c>
      <c r="Z126" s="3"/>
      <c r="AM126" s="25"/>
      <c r="AN126" s="177" t="s">
        <v>107</v>
      </c>
      <c r="AO126" s="22"/>
      <c r="AP126" s="107">
        <f>AP103</f>
        <v>113628.17690417689</v>
      </c>
      <c r="AZ126" s="21"/>
      <c r="BA126" s="21"/>
      <c r="BB126" s="21"/>
      <c r="BC126" s="21"/>
      <c r="BD126" s="21"/>
      <c r="BE126" s="21"/>
      <c r="BH126" s="177" t="s">
        <v>107</v>
      </c>
      <c r="BI126" s="22"/>
      <c r="BJ126" s="107">
        <f t="shared" si="157"/>
        <v>251680.91891891888</v>
      </c>
    </row>
    <row r="127" spans="1:69" ht="15.95" customHeight="1" thickBot="1" x14ac:dyDescent="0.3">
      <c r="R127" s="136">
        <f>SUM(R125:R126)</f>
        <v>181252.74201474199</v>
      </c>
      <c r="AN127" s="22"/>
      <c r="AO127" s="22"/>
      <c r="AP127" s="136">
        <f>SUM(AP125:AP126)</f>
        <v>189821.17690417689</v>
      </c>
      <c r="AZ127" s="21"/>
      <c r="BA127" s="21"/>
      <c r="BB127" s="21"/>
      <c r="BC127" s="21"/>
      <c r="BD127" s="21"/>
      <c r="BE127" s="21"/>
      <c r="BH127" s="22"/>
      <c r="BI127" s="22"/>
      <c r="BJ127" s="136">
        <f>SUM(BJ125:BJ126)</f>
        <v>371073.91891891888</v>
      </c>
    </row>
    <row r="128" spans="1:69" ht="15.95" customHeight="1" x14ac:dyDescent="0.25">
      <c r="AN128" s="22"/>
      <c r="AO128" s="22"/>
      <c r="AP128" s="22"/>
      <c r="AZ128" s="21"/>
      <c r="BA128" s="21"/>
      <c r="BB128" s="21"/>
      <c r="BC128" s="21"/>
      <c r="BD128" s="21"/>
      <c r="BE128" s="21"/>
      <c r="BH128" s="22"/>
      <c r="BI128" s="22"/>
      <c r="BJ128" s="22"/>
    </row>
    <row r="129" spans="16:62" ht="15.95" customHeight="1" x14ac:dyDescent="0.25">
      <c r="AN129" s="22"/>
      <c r="AO129" s="22"/>
      <c r="AP129" s="22"/>
      <c r="AZ129" s="99"/>
      <c r="BA129" s="21"/>
      <c r="BB129" s="21"/>
      <c r="BC129" s="21"/>
      <c r="BD129" s="21"/>
      <c r="BE129" s="21"/>
      <c r="BH129" s="22"/>
      <c r="BI129" s="22"/>
      <c r="BJ129" s="22"/>
    </row>
    <row r="130" spans="16:62" ht="15.95" customHeight="1" thickBot="1" x14ac:dyDescent="0.3">
      <c r="P130" s="177" t="s">
        <v>107</v>
      </c>
      <c r="R130" s="136">
        <f>R126</f>
        <v>138052.74201474199</v>
      </c>
      <c r="AN130" s="177" t="s">
        <v>107</v>
      </c>
      <c r="AO130" s="22"/>
      <c r="AP130" s="136">
        <f>AP126</f>
        <v>113628.17690417689</v>
      </c>
      <c r="AZ130" s="21"/>
      <c r="BA130" s="21"/>
      <c r="BB130" s="21"/>
      <c r="BC130" s="21"/>
      <c r="BD130" s="21"/>
      <c r="BE130" s="21"/>
      <c r="BH130" s="177" t="s">
        <v>107</v>
      </c>
      <c r="BI130" s="22"/>
      <c r="BJ130" s="136">
        <f>BJ126</f>
        <v>251680.91891891888</v>
      </c>
    </row>
    <row r="131" spans="16:62" ht="15.95" customHeight="1" x14ac:dyDescent="0.25">
      <c r="P131" s="177" t="s">
        <v>114</v>
      </c>
      <c r="R131" s="107">
        <f>R121-R125</f>
        <v>93229.676912848692</v>
      </c>
      <c r="V131" s="227"/>
      <c r="W131" s="227"/>
      <c r="X131" s="227"/>
      <c r="AN131" s="177" t="s">
        <v>114</v>
      </c>
      <c r="AO131" s="22"/>
      <c r="AP131" s="107">
        <f>IF((AP103-AF103)&lt;0,AP103,AP121-AP125)</f>
        <v>113628.17690417689</v>
      </c>
      <c r="AZ131" s="99"/>
      <c r="BA131" s="21"/>
      <c r="BB131" s="21"/>
      <c r="BC131" s="21"/>
      <c r="BD131" s="21"/>
      <c r="BE131" s="21"/>
      <c r="BH131" s="177" t="s">
        <v>114</v>
      </c>
      <c r="BI131" s="22"/>
      <c r="BJ131" s="107">
        <f t="shared" ref="BJ131:BJ132" si="158">AP131+R131</f>
        <v>206857.85381702558</v>
      </c>
    </row>
    <row r="132" spans="16:62" ht="15.95" customHeight="1" x14ac:dyDescent="0.25">
      <c r="P132" s="177" t="s">
        <v>115</v>
      </c>
      <c r="R132" s="107">
        <f>R130-R131</f>
        <v>44823.065101893299</v>
      </c>
      <c r="AN132" s="177" t="s">
        <v>115</v>
      </c>
      <c r="AO132" s="22"/>
      <c r="AP132" s="107">
        <f>AP130-AP131</f>
        <v>0</v>
      </c>
      <c r="AZ132" s="21"/>
      <c r="BA132" s="21"/>
      <c r="BB132" s="21"/>
      <c r="BC132" s="21"/>
      <c r="BD132" s="21"/>
      <c r="BE132" s="21"/>
      <c r="BH132" s="177" t="s">
        <v>115</v>
      </c>
      <c r="BI132" s="22"/>
      <c r="BJ132" s="107">
        <f t="shared" si="158"/>
        <v>44823.065101893299</v>
      </c>
    </row>
    <row r="133" spans="16:62" ht="15.95" customHeight="1" x14ac:dyDescent="0.25">
      <c r="AZ133" s="101"/>
      <c r="BA133" s="21"/>
      <c r="BB133" s="21"/>
      <c r="BC133" s="21"/>
      <c r="BD133" s="101"/>
      <c r="BE133" s="21"/>
    </row>
    <row r="134" spans="16:62" ht="15.95" customHeight="1" thickBot="1" x14ac:dyDescent="0.3">
      <c r="AZ134" s="21"/>
      <c r="BA134" s="21"/>
      <c r="BB134" s="21"/>
      <c r="BC134" s="21"/>
      <c r="BD134" s="21"/>
      <c r="BE134" s="21"/>
      <c r="BH134" s="187" t="s">
        <v>93</v>
      </c>
      <c r="BI134" s="21"/>
    </row>
    <row r="135" spans="16:62" ht="15.95" customHeight="1" thickBot="1" x14ac:dyDescent="0.3">
      <c r="AZ135" s="99"/>
      <c r="BA135" s="21"/>
      <c r="BB135" s="99"/>
      <c r="BC135" s="21"/>
      <c r="BD135" s="21"/>
      <c r="BE135" s="21"/>
      <c r="BH135" s="224">
        <v>41509</v>
      </c>
      <c r="BJ135" s="222">
        <v>200433</v>
      </c>
    </row>
    <row r="136" spans="16:62" ht="15.95" customHeight="1" x14ac:dyDescent="0.25">
      <c r="AZ136" s="100"/>
      <c r="BA136" s="21"/>
      <c r="BB136" s="21"/>
      <c r="BC136" s="21"/>
      <c r="BD136" s="21"/>
      <c r="BE136" s="21"/>
    </row>
    <row r="137" spans="16:62" ht="15.95" customHeight="1" thickBot="1" x14ac:dyDescent="0.3">
      <c r="AZ137" s="102"/>
      <c r="BA137" s="21"/>
      <c r="BB137" s="21"/>
      <c r="BC137" s="21"/>
      <c r="BD137" s="21"/>
      <c r="BE137" s="21"/>
      <c r="BH137" s="177" t="s">
        <v>108</v>
      </c>
      <c r="BJ137" s="136">
        <f>BJ131-BJ135</f>
        <v>6424.8538170255779</v>
      </c>
    </row>
    <row r="138" spans="16:62" ht="15.95" customHeight="1" x14ac:dyDescent="0.25">
      <c r="AZ138" s="21"/>
      <c r="BA138" s="21"/>
      <c r="BB138" s="21"/>
      <c r="BC138" s="21"/>
      <c r="BD138" s="21"/>
      <c r="BE138" s="21"/>
    </row>
    <row r="139" spans="16:62" ht="15.95" customHeight="1" x14ac:dyDescent="0.25">
      <c r="AZ139" s="21"/>
      <c r="BA139" s="21"/>
      <c r="BB139" s="21"/>
      <c r="BC139" s="21"/>
      <c r="BD139" s="21"/>
      <c r="BE139" s="21"/>
    </row>
    <row r="140" spans="16:62" ht="15.95" customHeight="1" x14ac:dyDescent="0.25">
      <c r="AZ140" s="21"/>
      <c r="BA140" s="21"/>
      <c r="BB140" s="21"/>
      <c r="BC140" s="21"/>
      <c r="BD140" s="21"/>
      <c r="BE140" s="21"/>
    </row>
    <row r="141" spans="16:62" ht="15.95" customHeight="1" x14ac:dyDescent="0.25">
      <c r="AZ141" s="99"/>
      <c r="BA141" s="21"/>
      <c r="BB141" s="21"/>
      <c r="BC141" s="21"/>
      <c r="BD141" s="21"/>
      <c r="BE141" s="21"/>
    </row>
    <row r="142" spans="16:62" ht="15.95" customHeight="1" x14ac:dyDescent="0.25">
      <c r="AZ142" s="21"/>
      <c r="BA142" s="21"/>
      <c r="BB142" s="21"/>
      <c r="BC142" s="21"/>
      <c r="BD142" s="21"/>
      <c r="BE142" s="21"/>
    </row>
    <row r="143" spans="16:62" ht="15.95" customHeight="1" x14ac:dyDescent="0.25">
      <c r="AZ143" s="99"/>
      <c r="BA143" s="21"/>
      <c r="BB143" s="21"/>
      <c r="BC143" s="21"/>
      <c r="BD143" s="21"/>
      <c r="BE143" s="21"/>
    </row>
    <row r="144" spans="16:62" ht="15.95" customHeight="1" x14ac:dyDescent="0.25">
      <c r="AZ144" s="21"/>
      <c r="BA144" s="21"/>
      <c r="BB144" s="21"/>
      <c r="BC144" s="21"/>
      <c r="BD144" s="21"/>
      <c r="BE144" s="21"/>
    </row>
    <row r="145" spans="52:57" ht="15.95" customHeight="1" x14ac:dyDescent="0.25">
      <c r="AZ145" s="101"/>
      <c r="BA145" s="21"/>
      <c r="BB145" s="21"/>
      <c r="BC145" s="21"/>
      <c r="BD145" s="101"/>
      <c r="BE145" s="21"/>
    </row>
    <row r="146" spans="52:57" ht="15.95" customHeight="1" x14ac:dyDescent="0.25">
      <c r="AZ146" s="100"/>
      <c r="BA146" s="21"/>
      <c r="BB146" s="21"/>
      <c r="BC146" s="21"/>
      <c r="BD146" s="21"/>
      <c r="BE146" s="21"/>
    </row>
    <row r="147" spans="52:57" ht="15.95" customHeight="1" x14ac:dyDescent="0.25">
      <c r="AZ147" s="99"/>
      <c r="BA147" s="21"/>
      <c r="BB147" s="99"/>
      <c r="BC147" s="21"/>
      <c r="BD147" s="21"/>
      <c r="BE147" s="21"/>
    </row>
    <row r="148" spans="52:57" ht="15.95" customHeight="1" x14ac:dyDescent="0.25">
      <c r="AZ148" s="21"/>
      <c r="BA148" s="21"/>
      <c r="BB148" s="21"/>
      <c r="BC148" s="21"/>
      <c r="BD148" s="21"/>
      <c r="BE148" s="21"/>
    </row>
    <row r="149" spans="52:57" ht="15.95" customHeight="1" x14ac:dyDescent="0.25">
      <c r="AZ149" s="102"/>
      <c r="BA149" s="21"/>
      <c r="BB149" s="21"/>
      <c r="BC149" s="21"/>
      <c r="BD149" s="21"/>
      <c r="BE149" s="21"/>
    </row>
    <row r="150" spans="52:57" ht="15.95" customHeight="1" x14ac:dyDescent="0.25">
      <c r="AZ150" s="21"/>
      <c r="BA150" s="21"/>
      <c r="BB150" s="21"/>
      <c r="BC150" s="21"/>
      <c r="BD150" s="21"/>
      <c r="BE150" s="21"/>
    </row>
    <row r="151" spans="52:57" ht="15.95" customHeight="1" x14ac:dyDescent="0.25">
      <c r="AZ151" s="21"/>
      <c r="BA151" s="21"/>
      <c r="BB151" s="99"/>
      <c r="BC151" s="21"/>
      <c r="BD151" s="101"/>
      <c r="BE151" s="21"/>
    </row>
    <row r="152" spans="52:57" ht="15.95" customHeight="1" x14ac:dyDescent="0.25">
      <c r="AZ152" s="21"/>
      <c r="BA152" s="21"/>
      <c r="BB152" s="21"/>
      <c r="BC152" s="21"/>
      <c r="BD152" s="21"/>
      <c r="BE152" s="21"/>
    </row>
    <row r="153" spans="52:57" ht="15.95" customHeight="1" x14ac:dyDescent="0.25">
      <c r="AZ153" s="99"/>
      <c r="BA153" s="21"/>
      <c r="BB153" s="21"/>
      <c r="BC153" s="21"/>
      <c r="BD153" s="21"/>
      <c r="BE153" s="21"/>
    </row>
    <row r="154" spans="52:57" ht="15.95" customHeight="1" x14ac:dyDescent="0.25">
      <c r="AZ154" s="21"/>
      <c r="BA154" s="21"/>
      <c r="BB154" s="21"/>
      <c r="BC154" s="21"/>
      <c r="BD154" s="21"/>
      <c r="BE154" s="21"/>
    </row>
    <row r="155" spans="52:57" ht="15.95" customHeight="1" x14ac:dyDescent="0.25">
      <c r="AZ155" s="99"/>
      <c r="BA155" s="21"/>
      <c r="BB155" s="21"/>
      <c r="BC155" s="21"/>
      <c r="BD155" s="21"/>
      <c r="BE155" s="21"/>
    </row>
    <row r="156" spans="52:57" ht="15.95" customHeight="1" x14ac:dyDescent="0.25">
      <c r="AZ156" s="21"/>
      <c r="BA156" s="21"/>
      <c r="BB156" s="21"/>
      <c r="BC156" s="21"/>
      <c r="BD156" s="21"/>
      <c r="BE156" s="21"/>
    </row>
    <row r="157" spans="52:57" ht="15.95" customHeight="1" x14ac:dyDescent="0.25">
      <c r="AZ157" s="99"/>
      <c r="BA157" s="21"/>
      <c r="BB157" s="21"/>
      <c r="BC157" s="21"/>
      <c r="BD157" s="21"/>
      <c r="BE157" s="21"/>
    </row>
    <row r="158" spans="52:57" ht="15.95" customHeight="1" x14ac:dyDescent="0.25">
      <c r="AZ158" s="21"/>
      <c r="BA158" s="21"/>
      <c r="BB158" s="21"/>
      <c r="BC158" s="21"/>
      <c r="BD158" s="21"/>
      <c r="BE158" s="21"/>
    </row>
    <row r="159" spans="52:57" ht="15.95" customHeight="1" x14ac:dyDescent="0.25">
      <c r="AZ159" s="21"/>
      <c r="BA159" s="21"/>
      <c r="BB159" s="21"/>
      <c r="BC159" s="21"/>
      <c r="BD159" s="21"/>
      <c r="BE159" s="21"/>
    </row>
    <row r="160" spans="52:57" ht="15.95" customHeight="1" x14ac:dyDescent="0.25">
      <c r="AZ160" s="21"/>
      <c r="BA160" s="21"/>
      <c r="BB160" s="21"/>
      <c r="BC160" s="21"/>
      <c r="BD160" s="21"/>
      <c r="BE160" s="21"/>
    </row>
  </sheetData>
  <mergeCells count="3">
    <mergeCell ref="D12:J13"/>
    <mergeCell ref="AB12:AH13"/>
    <mergeCell ref="AZ12:BD13"/>
  </mergeCells>
  <pageMargins left="0.24" right="0.24" top="0.45" bottom="0.4" header="0.31496062992126" footer="0.31496062992126"/>
  <pageSetup paperSize="9" scale="57" orientation="portrait" horizontalDpi="300" verticalDpi="300" r:id="rId1"/>
  <ignoredErrors>
    <ignoredError sqref="D15:E15 Z15:AB15 W16:X16 H15:K15 AE15:AI15 M15 W15 U15 N15:T15 V15 X15 AW15:BE15 AK15 AS15 AU15 AQ15 AL15:AP15 AR15 AV15 AT15 BG15 BO15 BM15 BK15 BI15 BH15 BJ15 BL15 BN15 BP15" numberStoredAsText="1"/>
    <ignoredError sqref="BJ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Balaka &amp; Dedza Non-net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Senard Mwale</dc:creator>
  <cp:lastModifiedBy>Rob</cp:lastModifiedBy>
  <cp:lastPrinted>2011-10-24T12:22:39Z</cp:lastPrinted>
  <dcterms:created xsi:type="dcterms:W3CDTF">2011-06-23T17:43:14Z</dcterms:created>
  <dcterms:modified xsi:type="dcterms:W3CDTF">2014-11-11T12:12:04Z</dcterms:modified>
</cp:coreProperties>
</file>